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showInkAnnotation="0" codeName="ThisWorkbook" defaultThemeVersion="124226"/>
  <xr:revisionPtr revIDLastSave="0" documentId="8_{64EE413C-DA6E-411B-9BDD-86116ED55381}" xr6:coauthVersionLast="47" xr6:coauthVersionMax="47" xr10:uidLastSave="{00000000-0000-0000-0000-000000000000}"/>
  <bookViews>
    <workbookView xWindow="-29445" yWindow="3660" windowWidth="28800" windowHeight="15345" activeTab="5" xr2:uid="{00000000-000D-0000-FFFF-FFFF00000000}"/>
  </bookViews>
  <sheets>
    <sheet name="Inputs" sheetId="12" r:id="rId1"/>
    <sheet name="MemoTables" sheetId="38" r:id="rId2"/>
    <sheet name="YR1" sheetId="39" r:id="rId3"/>
    <sheet name="YR2" sheetId="41" r:id="rId4"/>
    <sheet name="YR3" sheetId="42" r:id="rId5"/>
    <sheet name="summary" sheetId="8" r:id="rId6"/>
    <sheet name="EPA_YR1" sheetId="7" r:id="rId7"/>
    <sheet name="EPA_YR2" sheetId="43" r:id="rId8"/>
    <sheet name="EPA_YR3" sheetId="44" r:id="rId9"/>
    <sheet name="EPA summary" sheetId="11" r:id="rId10"/>
  </sheets>
  <definedNames>
    <definedName name="_xlnm.Print_Area" localSheetId="9">'EPA summary'!$B$2:$I$8</definedName>
    <definedName name="_xlnm.Print_Area" localSheetId="6">EPA_YR1!$B$2:$L$48</definedName>
    <definedName name="_xlnm.Print_Area" localSheetId="7">EPA_YR2!$B$2:$L$48</definedName>
    <definedName name="_xlnm.Print_Area" localSheetId="8">EPA_YR3!$B$2:$L$48</definedName>
    <definedName name="_xlnm.Print_Area" localSheetId="5">summary!$B$1:$I$14</definedName>
    <definedName name="_xlnm.Print_Area" localSheetId="2">'YR1'!$B$2:$M$126</definedName>
    <definedName name="_xlnm.Print_Area" localSheetId="3">'YR2'!$B$2:$M$121</definedName>
    <definedName name="_xlnm.Print_Area" localSheetId="4">'YR3'!$B$2:$M$121</definedName>
    <definedName name="_xlnm.Print_Titles" localSheetId="2">'YR1'!$2:$3</definedName>
    <definedName name="_xlnm.Print_Titles" localSheetId="3">'YR2'!$2:$3</definedName>
    <definedName name="_xlnm.Print_Titles" localSheetId="4">'YR3'!$2:$3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38" l="1"/>
  <c r="F55" i="38"/>
  <c r="F53" i="38"/>
  <c r="F42" i="38"/>
  <c r="F43" i="38"/>
  <c r="F44" i="38"/>
  <c r="F45" i="38"/>
  <c r="F46" i="38"/>
  <c r="F47" i="38"/>
  <c r="F48" i="38"/>
  <c r="F49" i="38"/>
  <c r="F50" i="38"/>
  <c r="F51" i="38"/>
  <c r="F41" i="38"/>
  <c r="F33" i="38"/>
  <c r="F34" i="38"/>
  <c r="F35" i="38"/>
  <c r="F36" i="38"/>
  <c r="F37" i="38"/>
  <c r="F38" i="38"/>
  <c r="F39" i="38"/>
  <c r="F32" i="38"/>
  <c r="F56" i="38" l="1"/>
  <c r="F8" i="44"/>
  <c r="H8" i="44" s="1"/>
  <c r="F8" i="43"/>
  <c r="H8" i="43" s="1"/>
  <c r="F8" i="7"/>
  <c r="H8" i="7" s="1"/>
  <c r="C18" i="38"/>
  <c r="F17" i="38"/>
  <c r="C17" i="38"/>
  <c r="F16" i="38"/>
  <c r="H16" i="38" s="1"/>
  <c r="C16" i="38"/>
  <c r="E16" i="38" s="1"/>
  <c r="F15" i="38"/>
  <c r="H15" i="38" s="1"/>
  <c r="C15" i="38"/>
  <c r="E15" i="38" s="1"/>
  <c r="F14" i="38"/>
  <c r="H14" i="38" s="1"/>
  <c r="C14" i="38"/>
  <c r="E14" i="38" s="1"/>
  <c r="F13" i="38"/>
  <c r="H13" i="38" s="1"/>
  <c r="C13" i="38"/>
  <c r="E13" i="38" s="1"/>
  <c r="F12" i="38"/>
  <c r="H12" i="38" s="1"/>
  <c r="C12" i="38"/>
  <c r="E12" i="38" s="1"/>
  <c r="F11" i="38"/>
  <c r="H11" i="38" s="1"/>
  <c r="C11" i="38"/>
  <c r="E11" i="38" s="1"/>
  <c r="F10" i="38"/>
  <c r="H10" i="38" s="1"/>
  <c r="C10" i="38"/>
  <c r="E10" i="38" s="1"/>
  <c r="F9" i="38"/>
  <c r="H9" i="38" s="1"/>
  <c r="C9" i="38"/>
  <c r="E9" i="38" s="1"/>
  <c r="F8" i="38"/>
  <c r="H8" i="38" s="1"/>
  <c r="C8" i="38"/>
  <c r="E8" i="38" s="1"/>
  <c r="F7" i="38"/>
  <c r="C7" i="38"/>
  <c r="F6" i="38"/>
  <c r="C6" i="38"/>
  <c r="F5" i="38"/>
  <c r="D74" i="12"/>
  <c r="C74" i="12"/>
  <c r="F21" i="12"/>
  <c r="C5" i="38" s="1"/>
  <c r="F37" i="44"/>
  <c r="H37" i="44" s="1"/>
  <c r="F26" i="44"/>
  <c r="H26" i="44" s="1"/>
  <c r="H39" i="44"/>
  <c r="I39" i="44" s="1"/>
  <c r="H9" i="44"/>
  <c r="J9" i="44" s="1"/>
  <c r="B9" i="44"/>
  <c r="H6" i="44"/>
  <c r="F37" i="43"/>
  <c r="H37" i="43" s="1"/>
  <c r="F26" i="43"/>
  <c r="H26" i="43" s="1"/>
  <c r="J26" i="43" s="1"/>
  <c r="F17" i="7"/>
  <c r="H17" i="7" s="1"/>
  <c r="F19" i="7"/>
  <c r="H19" i="7" s="1"/>
  <c r="I19" i="7" s="1"/>
  <c r="F21" i="7"/>
  <c r="H39" i="43"/>
  <c r="J39" i="43" s="1"/>
  <c r="H9" i="43"/>
  <c r="J9" i="43" s="1"/>
  <c r="B9" i="43"/>
  <c r="H6" i="43"/>
  <c r="I6" i="43" s="1"/>
  <c r="F37" i="7"/>
  <c r="H37" i="7" s="1"/>
  <c r="I37" i="7" s="1"/>
  <c r="F38" i="7"/>
  <c r="H38" i="7" s="1"/>
  <c r="F36" i="7"/>
  <c r="H36" i="7" s="1"/>
  <c r="I36" i="7" s="1"/>
  <c r="F32" i="7"/>
  <c r="H32" i="7" s="1"/>
  <c r="F33" i="7"/>
  <c r="H33" i="7" s="1"/>
  <c r="F28" i="7"/>
  <c r="I9" i="44" l="1"/>
  <c r="K9" i="44" s="1"/>
  <c r="J39" i="44"/>
  <c r="K39" i="44" s="1"/>
  <c r="I39" i="43"/>
  <c r="I38" i="7"/>
  <c r="J38" i="7"/>
  <c r="J36" i="7"/>
  <c r="K36" i="7" s="1"/>
  <c r="J37" i="7"/>
  <c r="K37" i="7" s="1"/>
  <c r="I40" i="44"/>
  <c r="L40" i="44" s="1"/>
  <c r="I40" i="7"/>
  <c r="J26" i="44"/>
  <c r="I26" i="44"/>
  <c r="J37" i="44"/>
  <c r="I37" i="44"/>
  <c r="J8" i="44"/>
  <c r="I8" i="44"/>
  <c r="K8" i="44" s="1"/>
  <c r="I6" i="44"/>
  <c r="J6" i="44"/>
  <c r="J19" i="7"/>
  <c r="K19" i="7" s="1"/>
  <c r="I8" i="43"/>
  <c r="J8" i="43"/>
  <c r="K39" i="43"/>
  <c r="J37" i="43"/>
  <c r="I37" i="43"/>
  <c r="K6" i="43"/>
  <c r="I40" i="43"/>
  <c r="L40" i="43" s="1"/>
  <c r="J6" i="43"/>
  <c r="I9" i="43"/>
  <c r="K9" i="43" s="1"/>
  <c r="I26" i="43"/>
  <c r="K26" i="43" s="1"/>
  <c r="I33" i="7"/>
  <c r="J33" i="7"/>
  <c r="I32" i="7"/>
  <c r="J32" i="7"/>
  <c r="K6" i="44" l="1"/>
  <c r="K26" i="44"/>
  <c r="K33" i="7"/>
  <c r="K38" i="7"/>
  <c r="K32" i="7"/>
  <c r="K37" i="44"/>
  <c r="K37" i="43"/>
  <c r="K8" i="43"/>
  <c r="H21" i="7" l="1"/>
  <c r="J21" i="7" l="1"/>
  <c r="I21" i="7"/>
  <c r="D11" i="8"/>
  <c r="C14" i="8"/>
  <c r="C13" i="8"/>
  <c r="G101" i="42"/>
  <c r="M101" i="42" s="1"/>
  <c r="F101" i="42"/>
  <c r="F100" i="42"/>
  <c r="F99" i="42"/>
  <c r="F98" i="42"/>
  <c r="F97" i="42"/>
  <c r="F96" i="42"/>
  <c r="G95" i="42"/>
  <c r="M95" i="42" s="1"/>
  <c r="F95" i="42"/>
  <c r="F94" i="42"/>
  <c r="F93" i="42"/>
  <c r="F92" i="42"/>
  <c r="F91" i="42"/>
  <c r="G90" i="42"/>
  <c r="M90" i="42" s="1"/>
  <c r="F90" i="42"/>
  <c r="F89" i="42"/>
  <c r="H88" i="42"/>
  <c r="F88" i="42"/>
  <c r="F87" i="42"/>
  <c r="F86" i="42"/>
  <c r="G85" i="42"/>
  <c r="F85" i="42"/>
  <c r="G78" i="42"/>
  <c r="F38" i="44" s="1"/>
  <c r="H38" i="44" s="1"/>
  <c r="F78" i="42"/>
  <c r="M77" i="42"/>
  <c r="F77" i="42"/>
  <c r="H77" i="42" s="1"/>
  <c r="G76" i="42"/>
  <c r="F36" i="44" s="1"/>
  <c r="H36" i="44" s="1"/>
  <c r="F76" i="42"/>
  <c r="F74" i="42"/>
  <c r="G73" i="42"/>
  <c r="M73" i="42" s="1"/>
  <c r="F73" i="42"/>
  <c r="G72" i="42"/>
  <c r="F72" i="42"/>
  <c r="G71" i="42"/>
  <c r="F30" i="44" s="1"/>
  <c r="H30" i="44" s="1"/>
  <c r="F71" i="42"/>
  <c r="G70" i="42"/>
  <c r="F29" i="44" s="1"/>
  <c r="H29" i="44" s="1"/>
  <c r="F70" i="42"/>
  <c r="G69" i="42"/>
  <c r="F69" i="42"/>
  <c r="H69" i="42" s="1"/>
  <c r="G68" i="42"/>
  <c r="F27" i="44" s="1"/>
  <c r="H27" i="44" s="1"/>
  <c r="F68" i="42"/>
  <c r="M67" i="42"/>
  <c r="F67" i="42"/>
  <c r="H67" i="42" s="1"/>
  <c r="G66" i="42"/>
  <c r="F25" i="44" s="1"/>
  <c r="H25" i="44" s="1"/>
  <c r="F66" i="42"/>
  <c r="G65" i="42"/>
  <c r="F24" i="44" s="1"/>
  <c r="H24" i="44" s="1"/>
  <c r="F65" i="42"/>
  <c r="G64" i="42"/>
  <c r="F64" i="42"/>
  <c r="H64" i="42" s="1"/>
  <c r="G62" i="42"/>
  <c r="F62" i="42"/>
  <c r="G61" i="42"/>
  <c r="F20" i="44" s="1"/>
  <c r="H20" i="44" s="1"/>
  <c r="F61" i="42"/>
  <c r="G60" i="42"/>
  <c r="F19" i="44" s="1"/>
  <c r="H19" i="44" s="1"/>
  <c r="F60" i="42"/>
  <c r="M59" i="42"/>
  <c r="I59" i="42"/>
  <c r="G59" i="42"/>
  <c r="F18" i="44" s="1"/>
  <c r="H18" i="44" s="1"/>
  <c r="F59" i="42"/>
  <c r="H59" i="42" s="1"/>
  <c r="G58" i="42"/>
  <c r="F58" i="42"/>
  <c r="G57" i="42"/>
  <c r="F16" i="44" s="1"/>
  <c r="H16" i="44" s="1"/>
  <c r="F57" i="42"/>
  <c r="G56" i="42"/>
  <c r="F15" i="44" s="1"/>
  <c r="H15" i="44" s="1"/>
  <c r="F56" i="42"/>
  <c r="G55" i="42"/>
  <c r="F55" i="42"/>
  <c r="M50" i="42"/>
  <c r="F50" i="42"/>
  <c r="H50" i="42" s="1"/>
  <c r="I50" i="42" s="1"/>
  <c r="D50" i="42"/>
  <c r="F49" i="42"/>
  <c r="H49" i="42" s="1"/>
  <c r="I49" i="42" s="1"/>
  <c r="D49" i="42"/>
  <c r="M49" i="42" s="1"/>
  <c r="M47" i="42"/>
  <c r="F47" i="42"/>
  <c r="H47" i="42" s="1"/>
  <c r="I47" i="42" s="1"/>
  <c r="D47" i="42"/>
  <c r="F46" i="42"/>
  <c r="H46" i="42" s="1"/>
  <c r="D46" i="42"/>
  <c r="M46" i="42" s="1"/>
  <c r="F44" i="42"/>
  <c r="H44" i="42" s="1"/>
  <c r="D44" i="42"/>
  <c r="M44" i="42" s="1"/>
  <c r="F43" i="42"/>
  <c r="H43" i="42" s="1"/>
  <c r="D43" i="42"/>
  <c r="M43" i="42" s="1"/>
  <c r="F41" i="42"/>
  <c r="H41" i="42" s="1"/>
  <c r="D41" i="42"/>
  <c r="M41" i="42" s="1"/>
  <c r="F40" i="42"/>
  <c r="H40" i="42" s="1"/>
  <c r="D40" i="42"/>
  <c r="M40" i="42" s="1"/>
  <c r="F38" i="42"/>
  <c r="H38" i="42" s="1"/>
  <c r="I38" i="42" s="1"/>
  <c r="D38" i="42"/>
  <c r="M38" i="42" s="1"/>
  <c r="F37" i="42"/>
  <c r="H37" i="42" s="1"/>
  <c r="D37" i="42"/>
  <c r="M37" i="42" s="1"/>
  <c r="F35" i="42"/>
  <c r="H35" i="42" s="1"/>
  <c r="D35" i="42"/>
  <c r="M35" i="42" s="1"/>
  <c r="F34" i="42"/>
  <c r="H34" i="42" s="1"/>
  <c r="I34" i="42" s="1"/>
  <c r="D34" i="42"/>
  <c r="M34" i="42" s="1"/>
  <c r="F32" i="42"/>
  <c r="H32" i="42" s="1"/>
  <c r="I32" i="42" s="1"/>
  <c r="D32" i="42"/>
  <c r="M32" i="42" s="1"/>
  <c r="F31" i="42"/>
  <c r="H31" i="42" s="1"/>
  <c r="D31" i="42"/>
  <c r="M31" i="42" s="1"/>
  <c r="F29" i="42"/>
  <c r="H29" i="42" s="1"/>
  <c r="D29" i="42"/>
  <c r="M29" i="42" s="1"/>
  <c r="F28" i="42"/>
  <c r="H28" i="42" s="1"/>
  <c r="I28" i="42" s="1"/>
  <c r="D28" i="42"/>
  <c r="M28" i="42" s="1"/>
  <c r="F26" i="42"/>
  <c r="H26" i="42" s="1"/>
  <c r="I26" i="42" s="1"/>
  <c r="D26" i="42"/>
  <c r="M26" i="42" s="1"/>
  <c r="F25" i="42"/>
  <c r="H25" i="42" s="1"/>
  <c r="D25" i="42"/>
  <c r="M25" i="42" s="1"/>
  <c r="F23" i="42"/>
  <c r="H23" i="42" s="1"/>
  <c r="J23" i="42" s="1"/>
  <c r="D23" i="42"/>
  <c r="M23" i="42" s="1"/>
  <c r="F22" i="42"/>
  <c r="H22" i="42" s="1"/>
  <c r="D22" i="42"/>
  <c r="M22" i="42" s="1"/>
  <c r="M20" i="42"/>
  <c r="F20" i="42"/>
  <c r="H20" i="42" s="1"/>
  <c r="D20" i="42"/>
  <c r="F19" i="42"/>
  <c r="H19" i="42" s="1"/>
  <c r="I19" i="42" s="1"/>
  <c r="D19" i="42"/>
  <c r="M19" i="42" s="1"/>
  <c r="F17" i="42"/>
  <c r="H17" i="42" s="1"/>
  <c r="I17" i="42" s="1"/>
  <c r="D17" i="42"/>
  <c r="M17" i="42" s="1"/>
  <c r="M16" i="42"/>
  <c r="F16" i="42"/>
  <c r="H16" i="42" s="1"/>
  <c r="D16" i="42"/>
  <c r="F14" i="42"/>
  <c r="H14" i="42" s="1"/>
  <c r="J14" i="42" s="1"/>
  <c r="D14" i="42"/>
  <c r="M14" i="42" s="1"/>
  <c r="F13" i="42"/>
  <c r="H13" i="42" s="1"/>
  <c r="I13" i="42" s="1"/>
  <c r="D13" i="42"/>
  <c r="M13" i="42" s="1"/>
  <c r="F11" i="42"/>
  <c r="H11" i="42" s="1"/>
  <c r="D11" i="42"/>
  <c r="M11" i="42" s="1"/>
  <c r="F10" i="42"/>
  <c r="H10" i="42" s="1"/>
  <c r="J10" i="42" s="1"/>
  <c r="D10" i="42"/>
  <c r="M10" i="42" s="1"/>
  <c r="M7" i="42"/>
  <c r="J7" i="42"/>
  <c r="I7" i="42"/>
  <c r="F7" i="42"/>
  <c r="H7" i="42" s="1"/>
  <c r="G95" i="41"/>
  <c r="M95" i="41" s="1"/>
  <c r="G66" i="41"/>
  <c r="F25" i="43" s="1"/>
  <c r="H25" i="43" s="1"/>
  <c r="G86" i="41"/>
  <c r="M86" i="41" s="1"/>
  <c r="G85" i="41"/>
  <c r="G101" i="41"/>
  <c r="G78" i="41"/>
  <c r="G99" i="41" s="1"/>
  <c r="G76" i="41"/>
  <c r="F36" i="43" s="1"/>
  <c r="H36" i="43" s="1"/>
  <c r="G73" i="41"/>
  <c r="G72" i="41"/>
  <c r="F31" i="43" s="1"/>
  <c r="H31" i="43" s="1"/>
  <c r="G71" i="41"/>
  <c r="F30" i="43" s="1"/>
  <c r="H30" i="43" s="1"/>
  <c r="G70" i="41"/>
  <c r="F29" i="43" s="1"/>
  <c r="H29" i="43" s="1"/>
  <c r="G69" i="41"/>
  <c r="F28" i="43" s="1"/>
  <c r="H28" i="43" s="1"/>
  <c r="M67" i="41"/>
  <c r="G65" i="41"/>
  <c r="F24" i="43" s="1"/>
  <c r="H24" i="43" s="1"/>
  <c r="G64" i="41"/>
  <c r="F23" i="43" s="1"/>
  <c r="H23" i="43" s="1"/>
  <c r="G62" i="41"/>
  <c r="G61" i="41"/>
  <c r="F20" i="43" s="1"/>
  <c r="H20" i="43" s="1"/>
  <c r="G60" i="41"/>
  <c r="F19" i="43" s="1"/>
  <c r="H19" i="43" s="1"/>
  <c r="G59" i="41"/>
  <c r="F18" i="43" s="1"/>
  <c r="H18" i="43" s="1"/>
  <c r="G58" i="41"/>
  <c r="F17" i="43" s="1"/>
  <c r="H17" i="43" s="1"/>
  <c r="G57" i="41"/>
  <c r="F16" i="43" s="1"/>
  <c r="H16" i="43" s="1"/>
  <c r="G56" i="41"/>
  <c r="F15" i="43" s="1"/>
  <c r="H15" i="43" s="1"/>
  <c r="G55" i="41"/>
  <c r="F14" i="43" s="1"/>
  <c r="H14" i="43" s="1"/>
  <c r="G68" i="41"/>
  <c r="F27" i="43" s="1"/>
  <c r="H27" i="43" s="1"/>
  <c r="F98" i="41"/>
  <c r="M98" i="39"/>
  <c r="F98" i="39"/>
  <c r="H98" i="39" s="1"/>
  <c r="F50" i="41"/>
  <c r="H50" i="41" s="1"/>
  <c r="D50" i="41"/>
  <c r="M50" i="41" s="1"/>
  <c r="F49" i="41"/>
  <c r="H49" i="41" s="1"/>
  <c r="D49" i="41"/>
  <c r="M49" i="41" s="1"/>
  <c r="F47" i="41"/>
  <c r="H47" i="41" s="1"/>
  <c r="D47" i="41"/>
  <c r="M47" i="41" s="1"/>
  <c r="F46" i="41"/>
  <c r="H46" i="41" s="1"/>
  <c r="D46" i="41"/>
  <c r="M46" i="41" s="1"/>
  <c r="F50" i="39"/>
  <c r="H50" i="39" s="1"/>
  <c r="F49" i="39"/>
  <c r="H49" i="39" s="1"/>
  <c r="J49" i="39" s="1"/>
  <c r="F47" i="39"/>
  <c r="H47" i="39" s="1"/>
  <c r="F46" i="39"/>
  <c r="H46" i="39" s="1"/>
  <c r="D50" i="39"/>
  <c r="M50" i="39" s="1"/>
  <c r="D49" i="39"/>
  <c r="M49" i="39" s="1"/>
  <c r="D47" i="39"/>
  <c r="M47" i="39" s="1"/>
  <c r="D46" i="39"/>
  <c r="M46" i="39" s="1"/>
  <c r="D10" i="41"/>
  <c r="M10" i="41" s="1"/>
  <c r="G55" i="39"/>
  <c r="F14" i="7" s="1"/>
  <c r="F101" i="41"/>
  <c r="F100" i="41"/>
  <c r="F99" i="41"/>
  <c r="F97" i="41"/>
  <c r="F96" i="41"/>
  <c r="F95" i="41"/>
  <c r="F94" i="41"/>
  <c r="F93" i="41"/>
  <c r="F92" i="41"/>
  <c r="F91" i="41"/>
  <c r="F90" i="41"/>
  <c r="F89" i="41"/>
  <c r="F88" i="41"/>
  <c r="F87" i="41"/>
  <c r="F86" i="41"/>
  <c r="F85" i="41"/>
  <c r="F78" i="41"/>
  <c r="M77" i="41"/>
  <c r="F77" i="41"/>
  <c r="H77" i="41" s="1"/>
  <c r="F76" i="41"/>
  <c r="F74" i="41"/>
  <c r="F73" i="41"/>
  <c r="F72" i="41"/>
  <c r="F71" i="41"/>
  <c r="F70" i="41"/>
  <c r="F69" i="41"/>
  <c r="M68" i="41"/>
  <c r="F68" i="41"/>
  <c r="F67" i="41"/>
  <c r="F66" i="41"/>
  <c r="F65" i="41"/>
  <c r="F64" i="41"/>
  <c r="M62" i="41"/>
  <c r="F62" i="41"/>
  <c r="F61" i="41"/>
  <c r="F60" i="41"/>
  <c r="F59" i="41"/>
  <c r="F58" i="41"/>
  <c r="F57" i="41"/>
  <c r="M56" i="41"/>
  <c r="F56" i="41"/>
  <c r="F55" i="41"/>
  <c r="F44" i="41"/>
  <c r="H44" i="41" s="1"/>
  <c r="D44" i="41"/>
  <c r="M44" i="41" s="1"/>
  <c r="F43" i="41"/>
  <c r="H43" i="41" s="1"/>
  <c r="D43" i="41"/>
  <c r="M43" i="41" s="1"/>
  <c r="F41" i="41"/>
  <c r="H41" i="41" s="1"/>
  <c r="D41" i="41"/>
  <c r="M41" i="41" s="1"/>
  <c r="F40" i="41"/>
  <c r="H40" i="41" s="1"/>
  <c r="D40" i="41"/>
  <c r="M40" i="41" s="1"/>
  <c r="F38" i="41"/>
  <c r="H38" i="41" s="1"/>
  <c r="D38" i="41"/>
  <c r="M38" i="41" s="1"/>
  <c r="F37" i="41"/>
  <c r="H37" i="41" s="1"/>
  <c r="D37" i="41"/>
  <c r="M37" i="41" s="1"/>
  <c r="F35" i="41"/>
  <c r="H35" i="41" s="1"/>
  <c r="I35" i="41" s="1"/>
  <c r="D35" i="41"/>
  <c r="M35" i="41" s="1"/>
  <c r="F34" i="41"/>
  <c r="H34" i="41" s="1"/>
  <c r="D34" i="41"/>
  <c r="M34" i="41" s="1"/>
  <c r="F32" i="41"/>
  <c r="H32" i="41" s="1"/>
  <c r="I32" i="41" s="1"/>
  <c r="D32" i="41"/>
  <c r="M32" i="41" s="1"/>
  <c r="F31" i="41"/>
  <c r="H31" i="41" s="1"/>
  <c r="D31" i="41"/>
  <c r="M31" i="41" s="1"/>
  <c r="F29" i="41"/>
  <c r="H29" i="41" s="1"/>
  <c r="D29" i="41"/>
  <c r="M29" i="41" s="1"/>
  <c r="F28" i="41"/>
  <c r="H28" i="41" s="1"/>
  <c r="D28" i="41"/>
  <c r="M28" i="41" s="1"/>
  <c r="F26" i="41"/>
  <c r="H26" i="41" s="1"/>
  <c r="D26" i="41"/>
  <c r="M26" i="41" s="1"/>
  <c r="F25" i="41"/>
  <c r="H25" i="41" s="1"/>
  <c r="D25" i="41"/>
  <c r="M25" i="41" s="1"/>
  <c r="F23" i="41"/>
  <c r="H23" i="41" s="1"/>
  <c r="D23" i="41"/>
  <c r="M23" i="41" s="1"/>
  <c r="F22" i="41"/>
  <c r="H22" i="41" s="1"/>
  <c r="D22" i="41"/>
  <c r="M22" i="41" s="1"/>
  <c r="F20" i="41"/>
  <c r="H20" i="41" s="1"/>
  <c r="I20" i="41" s="1"/>
  <c r="D20" i="41"/>
  <c r="M20" i="41" s="1"/>
  <c r="F19" i="41"/>
  <c r="H19" i="41" s="1"/>
  <c r="D19" i="41"/>
  <c r="M19" i="41" s="1"/>
  <c r="F17" i="41"/>
  <c r="H17" i="41" s="1"/>
  <c r="F16" i="41"/>
  <c r="H16" i="41" s="1"/>
  <c r="F14" i="41"/>
  <c r="H14" i="41" s="1"/>
  <c r="I14" i="41" s="1"/>
  <c r="F13" i="41"/>
  <c r="H13" i="41" s="1"/>
  <c r="F11" i="41"/>
  <c r="H11" i="41" s="1"/>
  <c r="I11" i="41" s="1"/>
  <c r="F10" i="41"/>
  <c r="H10" i="41" s="1"/>
  <c r="M7" i="41"/>
  <c r="F7" i="41"/>
  <c r="H7" i="41" s="1"/>
  <c r="G100" i="39"/>
  <c r="F100" i="39"/>
  <c r="M99" i="39"/>
  <c r="F99" i="39"/>
  <c r="M97" i="39"/>
  <c r="F97" i="39"/>
  <c r="H97" i="39" s="1"/>
  <c r="M96" i="39"/>
  <c r="F96" i="39"/>
  <c r="H96" i="39" s="1"/>
  <c r="M95" i="39"/>
  <c r="F95" i="39"/>
  <c r="H95" i="39" s="1"/>
  <c r="M94" i="39"/>
  <c r="F94" i="39"/>
  <c r="H94" i="39" s="1"/>
  <c r="M86" i="39"/>
  <c r="F86" i="39"/>
  <c r="H86" i="39" s="1"/>
  <c r="M78" i="39"/>
  <c r="F78" i="39"/>
  <c r="H78" i="39" s="1"/>
  <c r="M77" i="39"/>
  <c r="F77" i="39"/>
  <c r="H77" i="39" s="1"/>
  <c r="M76" i="39"/>
  <c r="F76" i="39"/>
  <c r="H76" i="39" s="1"/>
  <c r="M74" i="39"/>
  <c r="F74" i="39"/>
  <c r="H74" i="39" s="1"/>
  <c r="G71" i="39"/>
  <c r="F71" i="39"/>
  <c r="G70" i="39"/>
  <c r="F70" i="39"/>
  <c r="M69" i="39"/>
  <c r="F69" i="39"/>
  <c r="F60" i="39"/>
  <c r="G59" i="39"/>
  <c r="F59" i="39"/>
  <c r="F58" i="39"/>
  <c r="G57" i="39"/>
  <c r="F57" i="39"/>
  <c r="D43" i="39"/>
  <c r="D41" i="39"/>
  <c r="D40" i="39"/>
  <c r="F38" i="39"/>
  <c r="H38" i="39" s="1"/>
  <c r="F37" i="39"/>
  <c r="H37" i="39" s="1"/>
  <c r="F35" i="39"/>
  <c r="H35" i="39" s="1"/>
  <c r="F34" i="39"/>
  <c r="H34" i="39" s="1"/>
  <c r="F32" i="39"/>
  <c r="H32" i="39" s="1"/>
  <c r="F31" i="39"/>
  <c r="H31" i="39" s="1"/>
  <c r="F29" i="39"/>
  <c r="H29" i="39" s="1"/>
  <c r="F28" i="39"/>
  <c r="H28" i="39" s="1"/>
  <c r="F26" i="39"/>
  <c r="H26" i="39" s="1"/>
  <c r="F25" i="39"/>
  <c r="H25" i="39" s="1"/>
  <c r="F23" i="39"/>
  <c r="H23" i="39" s="1"/>
  <c r="F22" i="39"/>
  <c r="H22" i="39" s="1"/>
  <c r="F20" i="39"/>
  <c r="H20" i="39" s="1"/>
  <c r="F19" i="39"/>
  <c r="H19" i="39" s="1"/>
  <c r="D35" i="39"/>
  <c r="M35" i="39" s="1"/>
  <c r="D34" i="39"/>
  <c r="M34" i="39" s="1"/>
  <c r="J46" i="42" l="1"/>
  <c r="I46" i="42"/>
  <c r="L46" i="42" s="1"/>
  <c r="I44" i="42"/>
  <c r="L44" i="42" s="1"/>
  <c r="J44" i="42"/>
  <c r="J43" i="42"/>
  <c r="I43" i="42"/>
  <c r="L43" i="42" s="1"/>
  <c r="M62" i="42"/>
  <c r="F21" i="44"/>
  <c r="H21" i="44" s="1"/>
  <c r="H70" i="42"/>
  <c r="I19" i="44"/>
  <c r="J19" i="44"/>
  <c r="G92" i="42"/>
  <c r="F34" i="44" s="1"/>
  <c r="H34" i="44" s="1"/>
  <c r="F23" i="44"/>
  <c r="H23" i="44" s="1"/>
  <c r="H55" i="42"/>
  <c r="I55" i="42" s="1"/>
  <c r="F14" i="44"/>
  <c r="H14" i="44" s="1"/>
  <c r="H60" i="42"/>
  <c r="M64" i="42"/>
  <c r="J27" i="44"/>
  <c r="K27" i="44" s="1"/>
  <c r="I27" i="44"/>
  <c r="J30" i="44"/>
  <c r="I30" i="44"/>
  <c r="K30" i="44" s="1"/>
  <c r="I25" i="44"/>
  <c r="J25" i="44"/>
  <c r="K25" i="44"/>
  <c r="M56" i="42"/>
  <c r="M70" i="42"/>
  <c r="I16" i="44"/>
  <c r="J16" i="44"/>
  <c r="K16" i="44" s="1"/>
  <c r="H58" i="42"/>
  <c r="F17" i="44"/>
  <c r="H17" i="44" s="1"/>
  <c r="M60" i="42"/>
  <c r="J36" i="44"/>
  <c r="I36" i="44"/>
  <c r="G86" i="42"/>
  <c r="M86" i="42" s="1"/>
  <c r="J15" i="44"/>
  <c r="I15" i="44"/>
  <c r="K15" i="44" s="1"/>
  <c r="J38" i="44"/>
  <c r="I38" i="44"/>
  <c r="K38" i="44" s="1"/>
  <c r="M55" i="42"/>
  <c r="J24" i="44"/>
  <c r="I24" i="44"/>
  <c r="G93" i="42"/>
  <c r="F28" i="44"/>
  <c r="H28" i="44" s="1"/>
  <c r="M72" i="42"/>
  <c r="F31" i="44"/>
  <c r="H31" i="44" s="1"/>
  <c r="J18" i="44"/>
  <c r="I18" i="44"/>
  <c r="J20" i="44"/>
  <c r="I20" i="44"/>
  <c r="H73" i="42"/>
  <c r="I73" i="42" s="1"/>
  <c r="J29" i="44"/>
  <c r="I29" i="44"/>
  <c r="K29" i="44"/>
  <c r="G97" i="42"/>
  <c r="M97" i="42" s="1"/>
  <c r="F32" i="44"/>
  <c r="H32" i="44" s="1"/>
  <c r="I29" i="43"/>
  <c r="K29" i="43" s="1"/>
  <c r="J29" i="43"/>
  <c r="I20" i="43"/>
  <c r="J20" i="43"/>
  <c r="K20" i="43" s="1"/>
  <c r="J31" i="43"/>
  <c r="I31" i="43"/>
  <c r="K31" i="43"/>
  <c r="G87" i="41"/>
  <c r="M87" i="41" s="1"/>
  <c r="G96" i="41"/>
  <c r="M96" i="41" s="1"/>
  <c r="G94" i="41"/>
  <c r="M94" i="41" s="1"/>
  <c r="H74" i="41"/>
  <c r="I27" i="43"/>
  <c r="J27" i="43"/>
  <c r="H62" i="41"/>
  <c r="I62" i="41" s="1"/>
  <c r="F21" i="43"/>
  <c r="H21" i="43" s="1"/>
  <c r="M73" i="41"/>
  <c r="F32" i="43"/>
  <c r="H32" i="43" s="1"/>
  <c r="I25" i="43"/>
  <c r="J25" i="43"/>
  <c r="G97" i="41"/>
  <c r="I18" i="43"/>
  <c r="J18" i="43"/>
  <c r="I14" i="43"/>
  <c r="J14" i="43"/>
  <c r="I23" i="43"/>
  <c r="J23" i="43"/>
  <c r="G74" i="41"/>
  <c r="G89" i="41"/>
  <c r="M89" i="41" s="1"/>
  <c r="H95" i="41"/>
  <c r="J95" i="41" s="1"/>
  <c r="I15" i="43"/>
  <c r="J15" i="43"/>
  <c r="J24" i="43"/>
  <c r="I24" i="43"/>
  <c r="I36" i="43"/>
  <c r="K36" i="43" s="1"/>
  <c r="J36" i="43"/>
  <c r="G91" i="41"/>
  <c r="J19" i="43"/>
  <c r="I19" i="43"/>
  <c r="I16" i="43"/>
  <c r="J16" i="43"/>
  <c r="K16" i="43"/>
  <c r="H78" i="41"/>
  <c r="I78" i="41" s="1"/>
  <c r="F38" i="43"/>
  <c r="H38" i="43" s="1"/>
  <c r="G92" i="41"/>
  <c r="G100" i="41"/>
  <c r="H100" i="41" s="1"/>
  <c r="J30" i="43"/>
  <c r="I30" i="43"/>
  <c r="K30" i="43" s="1"/>
  <c r="J17" i="43"/>
  <c r="I17" i="43"/>
  <c r="K17" i="43" s="1"/>
  <c r="I28" i="43"/>
  <c r="J28" i="43"/>
  <c r="G93" i="41"/>
  <c r="M93" i="41" s="1"/>
  <c r="F30" i="7"/>
  <c r="H30" i="7" s="1"/>
  <c r="F18" i="7"/>
  <c r="H18" i="7" s="1"/>
  <c r="F16" i="7"/>
  <c r="M70" i="39"/>
  <c r="F29" i="7"/>
  <c r="K21" i="7"/>
  <c r="M69" i="42"/>
  <c r="I14" i="42"/>
  <c r="L14" i="42" s="1"/>
  <c r="H65" i="42"/>
  <c r="I65" i="42" s="1"/>
  <c r="M65" i="42"/>
  <c r="J13" i="42"/>
  <c r="G87" i="42"/>
  <c r="H87" i="42" s="1"/>
  <c r="H56" i="42"/>
  <c r="I56" i="42" s="1"/>
  <c r="I58" i="42"/>
  <c r="I88" i="42"/>
  <c r="I23" i="42"/>
  <c r="L23" i="42" s="1"/>
  <c r="K29" i="42"/>
  <c r="J29" i="42"/>
  <c r="J35" i="42"/>
  <c r="J41" i="42"/>
  <c r="J58" i="42"/>
  <c r="J69" i="42"/>
  <c r="J88" i="42"/>
  <c r="L88" i="42" s="1"/>
  <c r="H95" i="42"/>
  <c r="L13" i="42"/>
  <c r="K13" i="42"/>
  <c r="I29" i="42"/>
  <c r="L29" i="42" s="1"/>
  <c r="I35" i="42"/>
  <c r="I41" i="42"/>
  <c r="L41" i="42" s="1"/>
  <c r="K46" i="42"/>
  <c r="J60" i="42"/>
  <c r="K60" i="42" s="1"/>
  <c r="I60" i="42"/>
  <c r="H93" i="42"/>
  <c r="M93" i="42"/>
  <c r="J73" i="42"/>
  <c r="L73" i="42" s="1"/>
  <c r="H78" i="42"/>
  <c r="J22" i="42"/>
  <c r="L10" i="42"/>
  <c r="L17" i="42"/>
  <c r="J17" i="42"/>
  <c r="K17" i="42" s="1"/>
  <c r="J20" i="42"/>
  <c r="J70" i="42"/>
  <c r="K70" i="42" s="1"/>
  <c r="I70" i="42"/>
  <c r="I10" i="42"/>
  <c r="K10" i="42" s="1"/>
  <c r="I20" i="42"/>
  <c r="L20" i="42" s="1"/>
  <c r="J26" i="42"/>
  <c r="K26" i="42" s="1"/>
  <c r="L32" i="42"/>
  <c r="J32" i="42"/>
  <c r="K32" i="42" s="1"/>
  <c r="J38" i="42"/>
  <c r="L38" i="42" s="1"/>
  <c r="J67" i="42"/>
  <c r="I67" i="42"/>
  <c r="K67" i="42" s="1"/>
  <c r="L7" i="42"/>
  <c r="K7" i="42"/>
  <c r="J49" i="42"/>
  <c r="K49" i="42" s="1"/>
  <c r="J59" i="42"/>
  <c r="L59" i="42" s="1"/>
  <c r="I69" i="42"/>
  <c r="K69" i="42" s="1"/>
  <c r="H97" i="42"/>
  <c r="H76" i="42"/>
  <c r="M76" i="42"/>
  <c r="J16" i="42"/>
  <c r="J64" i="42"/>
  <c r="J25" i="42"/>
  <c r="L31" i="42"/>
  <c r="J31" i="42"/>
  <c r="J37" i="42"/>
  <c r="J40" i="42"/>
  <c r="I25" i="42"/>
  <c r="I31" i="42"/>
  <c r="I37" i="42"/>
  <c r="L37" i="42" s="1"/>
  <c r="I40" i="42"/>
  <c r="L40" i="42" s="1"/>
  <c r="M61" i="42"/>
  <c r="G91" i="42"/>
  <c r="H61" i="42"/>
  <c r="I64" i="42"/>
  <c r="L64" i="42" s="1"/>
  <c r="H68" i="42"/>
  <c r="J19" i="42"/>
  <c r="K19" i="42" s="1"/>
  <c r="M71" i="42"/>
  <c r="G96" i="42"/>
  <c r="H71" i="42"/>
  <c r="I16" i="42"/>
  <c r="I22" i="42"/>
  <c r="J28" i="42"/>
  <c r="L28" i="42" s="1"/>
  <c r="J34" i="42"/>
  <c r="K34" i="42" s="1"/>
  <c r="H57" i="42"/>
  <c r="M57" i="42"/>
  <c r="H92" i="42"/>
  <c r="M92" i="42"/>
  <c r="J77" i="42"/>
  <c r="I77" i="42"/>
  <c r="L77" i="42" s="1"/>
  <c r="H90" i="42"/>
  <c r="I11" i="42"/>
  <c r="J11" i="42"/>
  <c r="L47" i="42"/>
  <c r="J47" i="42"/>
  <c r="K47" i="42" s="1"/>
  <c r="J50" i="42"/>
  <c r="L50" i="42" s="1"/>
  <c r="K50" i="42"/>
  <c r="G89" i="42"/>
  <c r="H66" i="42"/>
  <c r="M66" i="42"/>
  <c r="H85" i="42"/>
  <c r="H101" i="42"/>
  <c r="H62" i="42"/>
  <c r="H72" i="42"/>
  <c r="M58" i="42"/>
  <c r="M68" i="42"/>
  <c r="G74" i="42"/>
  <c r="F33" i="44" s="1"/>
  <c r="H33" i="44" s="1"/>
  <c r="M78" i="42"/>
  <c r="M85" i="42"/>
  <c r="M87" i="42"/>
  <c r="M88" i="42"/>
  <c r="G94" i="42"/>
  <c r="G99" i="42"/>
  <c r="G100" i="42"/>
  <c r="H66" i="41"/>
  <c r="I66" i="41" s="1"/>
  <c r="M66" i="41"/>
  <c r="M78" i="41"/>
  <c r="H76" i="41"/>
  <c r="J76" i="41" s="1"/>
  <c r="M76" i="41"/>
  <c r="H73" i="41"/>
  <c r="I73" i="41" s="1"/>
  <c r="H67" i="41"/>
  <c r="I67" i="41" s="1"/>
  <c r="G90" i="41"/>
  <c r="M90" i="41" s="1"/>
  <c r="H61" i="41"/>
  <c r="J61" i="41" s="1"/>
  <c r="J47" i="41"/>
  <c r="I47" i="41"/>
  <c r="H65" i="41"/>
  <c r="I65" i="41" s="1"/>
  <c r="H72" i="41"/>
  <c r="J72" i="41" s="1"/>
  <c r="H89" i="41"/>
  <c r="J89" i="41" s="1"/>
  <c r="H85" i="41"/>
  <c r="J85" i="41" s="1"/>
  <c r="J98" i="39"/>
  <c r="I98" i="39"/>
  <c r="I49" i="41"/>
  <c r="J49" i="41"/>
  <c r="J74" i="41"/>
  <c r="I74" i="41"/>
  <c r="I46" i="41"/>
  <c r="K46" i="41" s="1"/>
  <c r="J46" i="41"/>
  <c r="J77" i="41"/>
  <c r="I77" i="41"/>
  <c r="J50" i="41"/>
  <c r="I50" i="41"/>
  <c r="L50" i="41" s="1"/>
  <c r="H60" i="41"/>
  <c r="I60" i="41" s="1"/>
  <c r="M71" i="41"/>
  <c r="H88" i="41"/>
  <c r="H58" i="41"/>
  <c r="J58" i="41" s="1"/>
  <c r="J62" i="41"/>
  <c r="L62" i="41" s="1"/>
  <c r="M72" i="41"/>
  <c r="J78" i="41"/>
  <c r="H86" i="41"/>
  <c r="M88" i="41"/>
  <c r="M58" i="41"/>
  <c r="M69" i="41"/>
  <c r="H92" i="41"/>
  <c r="H90" i="41"/>
  <c r="H59" i="41"/>
  <c r="I59" i="41" s="1"/>
  <c r="I50" i="39"/>
  <c r="J50" i="39"/>
  <c r="I49" i="39"/>
  <c r="J47" i="39"/>
  <c r="I47" i="39"/>
  <c r="I46" i="39"/>
  <c r="J46" i="39"/>
  <c r="J97" i="39"/>
  <c r="I97" i="39"/>
  <c r="H100" i="39"/>
  <c r="I100" i="39" s="1"/>
  <c r="H71" i="41"/>
  <c r="I71" i="41" s="1"/>
  <c r="M70" i="41"/>
  <c r="H68" i="41"/>
  <c r="J68" i="41" s="1"/>
  <c r="M60" i="41"/>
  <c r="M59" i="41"/>
  <c r="H64" i="41"/>
  <c r="M85" i="41"/>
  <c r="M100" i="39"/>
  <c r="J43" i="41"/>
  <c r="I43" i="41"/>
  <c r="J19" i="41"/>
  <c r="I19" i="41"/>
  <c r="J28" i="41"/>
  <c r="I28" i="41"/>
  <c r="J38" i="41"/>
  <c r="I38" i="41"/>
  <c r="J44" i="41"/>
  <c r="I44" i="41"/>
  <c r="J13" i="41"/>
  <c r="I13" i="41"/>
  <c r="J22" i="41"/>
  <c r="I22" i="41"/>
  <c r="J10" i="41"/>
  <c r="I10" i="41"/>
  <c r="J34" i="41"/>
  <c r="I34" i="41"/>
  <c r="J16" i="41"/>
  <c r="I16" i="41"/>
  <c r="J25" i="41"/>
  <c r="I25" i="41"/>
  <c r="J40" i="41"/>
  <c r="I40" i="41"/>
  <c r="L40" i="41" s="1"/>
  <c r="J66" i="41"/>
  <c r="J37" i="41"/>
  <c r="I37" i="41"/>
  <c r="J31" i="41"/>
  <c r="I31" i="41"/>
  <c r="K31" i="41" s="1"/>
  <c r="J41" i="41"/>
  <c r="I41" i="41"/>
  <c r="L41" i="41" s="1"/>
  <c r="J7" i="41"/>
  <c r="J17" i="41"/>
  <c r="J23" i="41"/>
  <c r="J29" i="41"/>
  <c r="I7" i="41"/>
  <c r="I29" i="41"/>
  <c r="H57" i="41"/>
  <c r="I95" i="41"/>
  <c r="H91" i="41"/>
  <c r="M91" i="41"/>
  <c r="J20" i="41"/>
  <c r="L20" i="41" s="1"/>
  <c r="K20" i="41"/>
  <c r="J26" i="41"/>
  <c r="L26" i="41" s="1"/>
  <c r="I23" i="41"/>
  <c r="K23" i="41" s="1"/>
  <c r="M55" i="41"/>
  <c r="H55" i="41"/>
  <c r="H79" i="41" s="1"/>
  <c r="M57" i="41"/>
  <c r="M65" i="41"/>
  <c r="H69" i="41"/>
  <c r="J71" i="41"/>
  <c r="M101" i="41"/>
  <c r="H101" i="41"/>
  <c r="J11" i="41"/>
  <c r="K11" i="41" s="1"/>
  <c r="J35" i="41"/>
  <c r="K35" i="41" s="1"/>
  <c r="I26" i="41"/>
  <c r="H56" i="41"/>
  <c r="M97" i="41"/>
  <c r="H97" i="41"/>
  <c r="J14" i="41"/>
  <c r="L14" i="41" s="1"/>
  <c r="J32" i="41"/>
  <c r="L32" i="41" s="1"/>
  <c r="I17" i="41"/>
  <c r="H70" i="41"/>
  <c r="M99" i="41"/>
  <c r="H99" i="41"/>
  <c r="M61" i="41"/>
  <c r="M64" i="41"/>
  <c r="H99" i="39"/>
  <c r="J96" i="39"/>
  <c r="I96" i="39"/>
  <c r="I95" i="39"/>
  <c r="J95" i="39"/>
  <c r="I94" i="39"/>
  <c r="J94" i="39"/>
  <c r="I86" i="39"/>
  <c r="J86" i="39"/>
  <c r="H69" i="39"/>
  <c r="I69" i="39" s="1"/>
  <c r="J78" i="39"/>
  <c r="I78" i="39"/>
  <c r="J77" i="39"/>
  <c r="I77" i="39"/>
  <c r="J76" i="39"/>
  <c r="I76" i="39"/>
  <c r="I74" i="39"/>
  <c r="J74" i="39"/>
  <c r="H71" i="39"/>
  <c r="M71" i="39"/>
  <c r="H70" i="39"/>
  <c r="M60" i="39"/>
  <c r="H60" i="39"/>
  <c r="H59" i="39"/>
  <c r="M59" i="39"/>
  <c r="H58" i="39"/>
  <c r="M58" i="39"/>
  <c r="H57" i="39"/>
  <c r="M57" i="39"/>
  <c r="J38" i="39"/>
  <c r="I38" i="39"/>
  <c r="J37" i="39"/>
  <c r="I37" i="39"/>
  <c r="J35" i="39"/>
  <c r="I35" i="39"/>
  <c r="J34" i="39"/>
  <c r="I34" i="39"/>
  <c r="J32" i="39"/>
  <c r="I32" i="39"/>
  <c r="J31" i="39"/>
  <c r="I31" i="39"/>
  <c r="J29" i="39"/>
  <c r="I29" i="39"/>
  <c r="J28" i="39"/>
  <c r="I28" i="39"/>
  <c r="J26" i="39"/>
  <c r="I26" i="39"/>
  <c r="J25" i="39"/>
  <c r="I25" i="39"/>
  <c r="J23" i="39"/>
  <c r="I23" i="39"/>
  <c r="J22" i="39"/>
  <c r="I22" i="39"/>
  <c r="I19" i="39"/>
  <c r="J19" i="39"/>
  <c r="I20" i="39"/>
  <c r="J20" i="39"/>
  <c r="J26" i="12"/>
  <c r="K27" i="12" s="1"/>
  <c r="K13" i="12"/>
  <c r="D38" i="39" s="1"/>
  <c r="M38" i="39" s="1"/>
  <c r="J19" i="12"/>
  <c r="K20" i="12" s="1"/>
  <c r="D67" i="12"/>
  <c r="D32" i="39" s="1"/>
  <c r="M32" i="39" s="1"/>
  <c r="C67" i="12"/>
  <c r="D31" i="39" s="1"/>
  <c r="M31" i="39" s="1"/>
  <c r="D61" i="12"/>
  <c r="D29" i="39" s="1"/>
  <c r="M29" i="39" s="1"/>
  <c r="C61" i="12"/>
  <c r="D28" i="39" s="1"/>
  <c r="M28" i="39" s="1"/>
  <c r="D55" i="12"/>
  <c r="D26" i="39" s="1"/>
  <c r="M26" i="39" s="1"/>
  <c r="C55" i="12"/>
  <c r="D25" i="39" s="1"/>
  <c r="M25" i="39" s="1"/>
  <c r="D49" i="12"/>
  <c r="D23" i="39" s="1"/>
  <c r="M23" i="39" s="1"/>
  <c r="C49" i="12"/>
  <c r="D22" i="39" s="1"/>
  <c r="M22" i="39" s="1"/>
  <c r="D43" i="12"/>
  <c r="D20" i="39" s="1"/>
  <c r="M20" i="39" s="1"/>
  <c r="D29" i="12"/>
  <c r="C29" i="12"/>
  <c r="F11" i="12"/>
  <c r="C11" i="12" s="1"/>
  <c r="K7" i="12"/>
  <c r="L7" i="12" s="1"/>
  <c r="K6" i="12"/>
  <c r="L6" i="12" s="1"/>
  <c r="K5" i="12"/>
  <c r="L5" i="12" s="1"/>
  <c r="K4" i="12"/>
  <c r="L4" i="12" s="1"/>
  <c r="K3" i="12"/>
  <c r="L3" i="12" s="1"/>
  <c r="K24" i="43" l="1"/>
  <c r="K15" i="43"/>
  <c r="K25" i="43"/>
  <c r="K19" i="44"/>
  <c r="K20" i="44"/>
  <c r="K24" i="44"/>
  <c r="K36" i="44"/>
  <c r="K28" i="43"/>
  <c r="K18" i="43"/>
  <c r="K27" i="43"/>
  <c r="L60" i="42"/>
  <c r="I23" i="44"/>
  <c r="J23" i="44"/>
  <c r="L11" i="42"/>
  <c r="L19" i="42"/>
  <c r="K31" i="42"/>
  <c r="K59" i="42"/>
  <c r="L67" i="42"/>
  <c r="H86" i="42"/>
  <c r="J32" i="44"/>
  <c r="I32" i="44"/>
  <c r="K18" i="44"/>
  <c r="J34" i="44"/>
  <c r="I34" i="44"/>
  <c r="K34" i="44"/>
  <c r="K43" i="42"/>
  <c r="L25" i="42"/>
  <c r="J56" i="42"/>
  <c r="L58" i="42"/>
  <c r="J55" i="42"/>
  <c r="L55" i="42" s="1"/>
  <c r="I31" i="44"/>
  <c r="J31" i="44"/>
  <c r="K31" i="44"/>
  <c r="L16" i="42"/>
  <c r="K44" i="42"/>
  <c r="I33" i="44"/>
  <c r="J33" i="44"/>
  <c r="L56" i="42"/>
  <c r="K37" i="42"/>
  <c r="L49" i="42"/>
  <c r="I28" i="44"/>
  <c r="J28" i="44"/>
  <c r="J17" i="44"/>
  <c r="I17" i="44"/>
  <c r="K17" i="44" s="1"/>
  <c r="J21" i="44"/>
  <c r="I21" i="44"/>
  <c r="K21" i="44" s="1"/>
  <c r="H41" i="44"/>
  <c r="C6" i="11" s="1"/>
  <c r="J14" i="44"/>
  <c r="I14" i="44"/>
  <c r="H87" i="41"/>
  <c r="L74" i="41"/>
  <c r="M92" i="41"/>
  <c r="F34" i="43"/>
  <c r="H34" i="43" s="1"/>
  <c r="H93" i="41"/>
  <c r="J73" i="41"/>
  <c r="I32" i="43"/>
  <c r="J32" i="43"/>
  <c r="L77" i="41"/>
  <c r="M100" i="41"/>
  <c r="J21" i="43"/>
  <c r="I21" i="43"/>
  <c r="I76" i="41"/>
  <c r="L76" i="41" s="1"/>
  <c r="F33" i="43"/>
  <c r="H33" i="43" s="1"/>
  <c r="G98" i="41"/>
  <c r="M74" i="41"/>
  <c r="L95" i="41"/>
  <c r="H94" i="41"/>
  <c r="I94" i="41" s="1"/>
  <c r="L73" i="41"/>
  <c r="I38" i="43"/>
  <c r="J38" i="43"/>
  <c r="K14" i="43"/>
  <c r="J65" i="41"/>
  <c r="K65" i="41" s="1"/>
  <c r="K26" i="41"/>
  <c r="L11" i="41"/>
  <c r="H96" i="41"/>
  <c r="K19" i="43"/>
  <c r="K23" i="43"/>
  <c r="L98" i="39"/>
  <c r="L50" i="39"/>
  <c r="K50" i="39"/>
  <c r="K97" i="39"/>
  <c r="L46" i="39"/>
  <c r="I18" i="7"/>
  <c r="J18" i="7"/>
  <c r="K47" i="39"/>
  <c r="J30" i="7"/>
  <c r="I30" i="7"/>
  <c r="I88" i="41"/>
  <c r="L35" i="42"/>
  <c r="L34" i="42"/>
  <c r="L26" i="42"/>
  <c r="L69" i="42"/>
  <c r="K23" i="42"/>
  <c r="L22" i="42"/>
  <c r="K88" i="42"/>
  <c r="K16" i="42"/>
  <c r="K14" i="42"/>
  <c r="J65" i="42"/>
  <c r="K65" i="42" s="1"/>
  <c r="K55" i="42"/>
  <c r="K64" i="42"/>
  <c r="I68" i="42"/>
  <c r="J68" i="42"/>
  <c r="K68" i="42" s="1"/>
  <c r="K35" i="42"/>
  <c r="I72" i="42"/>
  <c r="J72" i="42"/>
  <c r="I92" i="42"/>
  <c r="J92" i="42"/>
  <c r="K28" i="42"/>
  <c r="I97" i="42"/>
  <c r="J97" i="42"/>
  <c r="K97" i="42" s="1"/>
  <c r="K73" i="42"/>
  <c r="K58" i="42"/>
  <c r="J66" i="42"/>
  <c r="I66" i="42"/>
  <c r="H96" i="42"/>
  <c r="M96" i="42"/>
  <c r="I62" i="42"/>
  <c r="J62" i="42"/>
  <c r="J61" i="42"/>
  <c r="I61" i="42"/>
  <c r="L61" i="42" s="1"/>
  <c r="K56" i="42"/>
  <c r="I90" i="42"/>
  <c r="J90" i="42"/>
  <c r="H91" i="42"/>
  <c r="M91" i="42"/>
  <c r="M109" i="42"/>
  <c r="I85" i="42"/>
  <c r="J85" i="42"/>
  <c r="L85" i="42" s="1"/>
  <c r="I87" i="42"/>
  <c r="J87" i="42"/>
  <c r="L87" i="42" s="1"/>
  <c r="J57" i="42"/>
  <c r="I57" i="42"/>
  <c r="L57" i="42"/>
  <c r="L65" i="42"/>
  <c r="L70" i="42"/>
  <c r="K38" i="42"/>
  <c r="K20" i="42"/>
  <c r="K22" i="42"/>
  <c r="I93" i="42"/>
  <c r="J93" i="42"/>
  <c r="K93" i="42" s="1"/>
  <c r="K77" i="42"/>
  <c r="H99" i="42"/>
  <c r="M99" i="42"/>
  <c r="J76" i="42"/>
  <c r="I76" i="42"/>
  <c r="K76" i="42" s="1"/>
  <c r="L76" i="42"/>
  <c r="H94" i="42"/>
  <c r="M94" i="42"/>
  <c r="H89" i="42"/>
  <c r="M89" i="42"/>
  <c r="J71" i="42"/>
  <c r="I71" i="42"/>
  <c r="L71" i="42" s="1"/>
  <c r="I101" i="42"/>
  <c r="J101" i="42"/>
  <c r="L101" i="42" s="1"/>
  <c r="K40" i="42"/>
  <c r="K11" i="42"/>
  <c r="K25" i="42"/>
  <c r="K41" i="42"/>
  <c r="I78" i="42"/>
  <c r="J78" i="42"/>
  <c r="K78" i="42" s="1"/>
  <c r="H100" i="42"/>
  <c r="M100" i="42"/>
  <c r="G98" i="42"/>
  <c r="D12" i="8"/>
  <c r="M74" i="42"/>
  <c r="M79" i="42" s="1"/>
  <c r="H74" i="42"/>
  <c r="I86" i="42"/>
  <c r="J86" i="42"/>
  <c r="L86" i="42" s="1"/>
  <c r="I95" i="42"/>
  <c r="J95" i="42"/>
  <c r="K95" i="42" s="1"/>
  <c r="J67" i="41"/>
  <c r="I61" i="41"/>
  <c r="K61" i="41" s="1"/>
  <c r="I58" i="41"/>
  <c r="K25" i="41"/>
  <c r="K13" i="41"/>
  <c r="I85" i="41"/>
  <c r="K85" i="41" s="1"/>
  <c r="J60" i="41"/>
  <c r="K60" i="41" s="1"/>
  <c r="L47" i="41"/>
  <c r="I72" i="41"/>
  <c r="K72" i="41" s="1"/>
  <c r="L61" i="41"/>
  <c r="L38" i="41"/>
  <c r="K49" i="41"/>
  <c r="K14" i="41"/>
  <c r="J59" i="41"/>
  <c r="K59" i="41" s="1"/>
  <c r="K29" i="41"/>
  <c r="I68" i="41"/>
  <c r="K68" i="41" s="1"/>
  <c r="L37" i="41"/>
  <c r="K44" i="41"/>
  <c r="L43" i="41"/>
  <c r="K50" i="41"/>
  <c r="K47" i="41"/>
  <c r="L7" i="41"/>
  <c r="L67" i="41"/>
  <c r="K28" i="41"/>
  <c r="L58" i="41"/>
  <c r="K37" i="41"/>
  <c r="K22" i="41"/>
  <c r="I89" i="41"/>
  <c r="K89" i="41" s="1"/>
  <c r="L78" i="41"/>
  <c r="K98" i="39"/>
  <c r="L29" i="41"/>
  <c r="K74" i="41"/>
  <c r="K43" i="41"/>
  <c r="K76" i="41"/>
  <c r="J86" i="41"/>
  <c r="I86" i="41"/>
  <c r="K86" i="41" s="1"/>
  <c r="L89" i="41"/>
  <c r="K62" i="41"/>
  <c r="K7" i="41"/>
  <c r="L34" i="41"/>
  <c r="K78" i="41"/>
  <c r="L46" i="41"/>
  <c r="L49" i="41"/>
  <c r="K95" i="41"/>
  <c r="L44" i="41"/>
  <c r="K73" i="41"/>
  <c r="K40" i="41"/>
  <c r="K58" i="41"/>
  <c r="L10" i="41"/>
  <c r="L28" i="41"/>
  <c r="I90" i="41"/>
  <c r="J90" i="41"/>
  <c r="L90" i="41" s="1"/>
  <c r="L35" i="41"/>
  <c r="K16" i="41"/>
  <c r="J88" i="41"/>
  <c r="K41" i="41"/>
  <c r="L66" i="41"/>
  <c r="L16" i="41"/>
  <c r="K67" i="41"/>
  <c r="K19" i="41"/>
  <c r="J92" i="41"/>
  <c r="I92" i="41"/>
  <c r="K77" i="41"/>
  <c r="L47" i="39"/>
  <c r="K46" i="39"/>
  <c r="L49" i="39"/>
  <c r="K49" i="39"/>
  <c r="K95" i="39"/>
  <c r="K86" i="39"/>
  <c r="J100" i="39"/>
  <c r="K100" i="39" s="1"/>
  <c r="K77" i="39"/>
  <c r="K96" i="39"/>
  <c r="K34" i="41"/>
  <c r="L17" i="41"/>
  <c r="J87" i="41"/>
  <c r="I87" i="41"/>
  <c r="L13" i="41"/>
  <c r="J64" i="41"/>
  <c r="I64" i="41"/>
  <c r="K32" i="41"/>
  <c r="K66" i="41"/>
  <c r="K10" i="41"/>
  <c r="K38" i="41"/>
  <c r="L23" i="41"/>
  <c r="L31" i="41"/>
  <c r="L25" i="41"/>
  <c r="L19" i="41"/>
  <c r="J99" i="41"/>
  <c r="I99" i="41"/>
  <c r="J97" i="41"/>
  <c r="I97" i="41"/>
  <c r="I101" i="41"/>
  <c r="J101" i="41"/>
  <c r="K101" i="41" s="1"/>
  <c r="J69" i="41"/>
  <c r="I69" i="41"/>
  <c r="J57" i="41"/>
  <c r="I57" i="41"/>
  <c r="L22" i="41"/>
  <c r="L68" i="41"/>
  <c r="L71" i="41"/>
  <c r="K71" i="41"/>
  <c r="K17" i="41"/>
  <c r="I56" i="41"/>
  <c r="J56" i="41"/>
  <c r="J100" i="41"/>
  <c r="I100" i="41"/>
  <c r="J55" i="41"/>
  <c r="J79" i="41" s="1"/>
  <c r="I55" i="41"/>
  <c r="I79" i="41" s="1"/>
  <c r="J70" i="41"/>
  <c r="I70" i="41"/>
  <c r="K70" i="41" s="1"/>
  <c r="L70" i="41"/>
  <c r="I91" i="41"/>
  <c r="J91" i="41"/>
  <c r="J99" i="39"/>
  <c r="I99" i="39"/>
  <c r="K94" i="39"/>
  <c r="K74" i="39"/>
  <c r="K78" i="39"/>
  <c r="K76" i="39"/>
  <c r="J69" i="39"/>
  <c r="K69" i="39" s="1"/>
  <c r="J71" i="39"/>
  <c r="I71" i="39"/>
  <c r="J70" i="39"/>
  <c r="I70" i="39"/>
  <c r="I60" i="39"/>
  <c r="J60" i="39"/>
  <c r="K37" i="39"/>
  <c r="J59" i="39"/>
  <c r="I59" i="39"/>
  <c r="J58" i="39"/>
  <c r="I58" i="39"/>
  <c r="J57" i="39"/>
  <c r="I57" i="39"/>
  <c r="K38" i="39"/>
  <c r="K35" i="39"/>
  <c r="K34" i="39"/>
  <c r="K32" i="39"/>
  <c r="K31" i="39"/>
  <c r="K29" i="39"/>
  <c r="K28" i="39"/>
  <c r="K23" i="39"/>
  <c r="K20" i="39"/>
  <c r="K25" i="39"/>
  <c r="K26" i="39"/>
  <c r="K22" i="39"/>
  <c r="K19" i="39"/>
  <c r="J27" i="12"/>
  <c r="J13" i="12"/>
  <c r="D37" i="39" s="1"/>
  <c r="M37" i="39" s="1"/>
  <c r="J20" i="12"/>
  <c r="C43" i="12"/>
  <c r="D19" i="39" s="1"/>
  <c r="M19" i="39" s="1"/>
  <c r="K28" i="44" l="1"/>
  <c r="K38" i="43"/>
  <c r="J41" i="44"/>
  <c r="E6" i="11" s="1"/>
  <c r="K33" i="44"/>
  <c r="K32" i="44"/>
  <c r="K32" i="43"/>
  <c r="K30" i="7"/>
  <c r="K101" i="42"/>
  <c r="L72" i="42"/>
  <c r="K14" i="44"/>
  <c r="K23" i="44"/>
  <c r="K62" i="42"/>
  <c r="L90" i="42"/>
  <c r="L78" i="42"/>
  <c r="K72" i="42"/>
  <c r="I41" i="44"/>
  <c r="D6" i="11" s="1"/>
  <c r="E11" i="8"/>
  <c r="J93" i="41"/>
  <c r="I93" i="41"/>
  <c r="K94" i="41"/>
  <c r="L65" i="41"/>
  <c r="M98" i="41"/>
  <c r="M103" i="41" s="1"/>
  <c r="H98" i="41"/>
  <c r="I96" i="41"/>
  <c r="J96" i="41"/>
  <c r="I33" i="43"/>
  <c r="J33" i="43"/>
  <c r="H41" i="43"/>
  <c r="C5" i="11" s="1"/>
  <c r="J34" i="43"/>
  <c r="I34" i="43"/>
  <c r="K34" i="43" s="1"/>
  <c r="L59" i="41"/>
  <c r="L60" i="41"/>
  <c r="L100" i="41"/>
  <c r="K97" i="41"/>
  <c r="L87" i="41"/>
  <c r="J94" i="41"/>
  <c r="L94" i="41" s="1"/>
  <c r="H103" i="41"/>
  <c r="K21" i="43"/>
  <c r="K18" i="7"/>
  <c r="L88" i="41"/>
  <c r="K57" i="42"/>
  <c r="L93" i="42"/>
  <c r="L66" i="42"/>
  <c r="L68" i="42"/>
  <c r="K87" i="42"/>
  <c r="L92" i="42"/>
  <c r="H103" i="42"/>
  <c r="I74" i="42"/>
  <c r="J74" i="42"/>
  <c r="J79" i="42" s="1"/>
  <c r="L74" i="42"/>
  <c r="L95" i="42"/>
  <c r="H79" i="42"/>
  <c r="E12" i="8" s="1"/>
  <c r="L62" i="42"/>
  <c r="K92" i="42"/>
  <c r="I94" i="42"/>
  <c r="J94" i="42"/>
  <c r="H98" i="42"/>
  <c r="M98" i="42"/>
  <c r="M103" i="42" s="1"/>
  <c r="M104" i="42" s="1"/>
  <c r="H5" i="8" s="1"/>
  <c r="K71" i="42"/>
  <c r="K61" i="42"/>
  <c r="I89" i="42"/>
  <c r="J89" i="42"/>
  <c r="L89" i="42" s="1"/>
  <c r="I91" i="42"/>
  <c r="J91" i="42"/>
  <c r="I96" i="42"/>
  <c r="J96" i="42"/>
  <c r="L96" i="42" s="1"/>
  <c r="K86" i="42"/>
  <c r="K66" i="42"/>
  <c r="L97" i="42"/>
  <c r="I99" i="42"/>
  <c r="J99" i="42"/>
  <c r="L99" i="42" s="1"/>
  <c r="K85" i="42"/>
  <c r="I100" i="42"/>
  <c r="J100" i="42"/>
  <c r="L100" i="42" s="1"/>
  <c r="I79" i="42"/>
  <c r="K90" i="42"/>
  <c r="L85" i="41"/>
  <c r="K69" i="41"/>
  <c r="L72" i="41"/>
  <c r="L101" i="41"/>
  <c r="L99" i="41"/>
  <c r="K92" i="41"/>
  <c r="K90" i="41"/>
  <c r="L92" i="41"/>
  <c r="L86" i="41"/>
  <c r="K88" i="41"/>
  <c r="K99" i="41"/>
  <c r="K57" i="41"/>
  <c r="L56" i="41"/>
  <c r="K64" i="41"/>
  <c r="L57" i="41"/>
  <c r="K87" i="41"/>
  <c r="L64" i="41"/>
  <c r="L55" i="41"/>
  <c r="L79" i="41" s="1"/>
  <c r="K55" i="41"/>
  <c r="K79" i="41" s="1"/>
  <c r="K100" i="41"/>
  <c r="L69" i="41"/>
  <c r="L97" i="41"/>
  <c r="K91" i="41"/>
  <c r="L91" i="41"/>
  <c r="K56" i="41"/>
  <c r="K99" i="39"/>
  <c r="K70" i="39"/>
  <c r="K71" i="39"/>
  <c r="K60" i="39"/>
  <c r="K57" i="39"/>
  <c r="K58" i="39"/>
  <c r="K59" i="39"/>
  <c r="M93" i="39"/>
  <c r="F93" i="39"/>
  <c r="H93" i="39" s="1"/>
  <c r="K41" i="44" l="1"/>
  <c r="K33" i="43"/>
  <c r="K41" i="43" s="1"/>
  <c r="I41" i="43"/>
  <c r="D5" i="11" s="1"/>
  <c r="K99" i="42"/>
  <c r="L91" i="42"/>
  <c r="K94" i="42"/>
  <c r="K74" i="42"/>
  <c r="I103" i="41"/>
  <c r="I104" i="41" s="1"/>
  <c r="D4" i="8" s="1"/>
  <c r="L96" i="41"/>
  <c r="K96" i="41"/>
  <c r="H104" i="41"/>
  <c r="C4" i="8" s="1"/>
  <c r="K93" i="41"/>
  <c r="L93" i="41"/>
  <c r="J98" i="41"/>
  <c r="J103" i="41" s="1"/>
  <c r="J104" i="41" s="1"/>
  <c r="E4" i="8" s="1"/>
  <c r="I98" i="41"/>
  <c r="J41" i="43"/>
  <c r="E5" i="11" s="1"/>
  <c r="K79" i="42"/>
  <c r="L79" i="42"/>
  <c r="H104" i="42"/>
  <c r="C5" i="8" s="1"/>
  <c r="K96" i="42"/>
  <c r="K89" i="42"/>
  <c r="L94" i="42"/>
  <c r="K100" i="42"/>
  <c r="K91" i="42"/>
  <c r="M110" i="42"/>
  <c r="L107" i="42"/>
  <c r="I98" i="42"/>
  <c r="I103" i="42" s="1"/>
  <c r="I104" i="42" s="1"/>
  <c r="D5" i="8" s="1"/>
  <c r="J98" i="42"/>
  <c r="J103" i="42" s="1"/>
  <c r="J104" i="42" s="1"/>
  <c r="E5" i="8" s="1"/>
  <c r="I93" i="39"/>
  <c r="J93" i="39"/>
  <c r="F12" i="8" l="1"/>
  <c r="F11" i="8"/>
  <c r="L98" i="41"/>
  <c r="L103" i="41" s="1"/>
  <c r="L104" i="41" s="1"/>
  <c r="K98" i="41"/>
  <c r="K103" i="41" s="1"/>
  <c r="K104" i="41" s="1"/>
  <c r="J107" i="42"/>
  <c r="L98" i="42"/>
  <c r="L103" i="42" s="1"/>
  <c r="L104" i="42" s="1"/>
  <c r="K98" i="42"/>
  <c r="K103" i="42" s="1"/>
  <c r="K104" i="42" s="1"/>
  <c r="J107" i="41"/>
  <c r="K93" i="39"/>
  <c r="G4" i="8" l="1"/>
  <c r="K107" i="41"/>
  <c r="K107" i="42"/>
  <c r="M107" i="42" s="1"/>
  <c r="G5" i="8"/>
  <c r="H29" i="7" l="1"/>
  <c r="F26" i="7"/>
  <c r="H26" i="7" s="1"/>
  <c r="J26" i="7" s="1"/>
  <c r="F25" i="7"/>
  <c r="H25" i="7" s="1"/>
  <c r="J17" i="7" l="1"/>
  <c r="I17" i="7"/>
  <c r="I26" i="7"/>
  <c r="I25" i="7"/>
  <c r="I29" i="7"/>
  <c r="J25" i="7"/>
  <c r="J29" i="7"/>
  <c r="K29" i="7" l="1"/>
  <c r="K17" i="7"/>
  <c r="K26" i="7"/>
  <c r="K25" i="7"/>
  <c r="L40" i="7" l="1"/>
  <c r="E17" i="38" l="1"/>
  <c r="E18" i="38" l="1"/>
  <c r="H17" i="38"/>
  <c r="F34" i="7" l="1"/>
  <c r="M101" i="39"/>
  <c r="M7" i="39"/>
  <c r="G90" i="39"/>
  <c r="M90" i="39" s="1"/>
  <c r="G89" i="39"/>
  <c r="G88" i="39"/>
  <c r="G87" i="39"/>
  <c r="G72" i="39"/>
  <c r="G68" i="39"/>
  <c r="G65" i="39"/>
  <c r="G64" i="39"/>
  <c r="F23" i="7" s="1"/>
  <c r="G61" i="39"/>
  <c r="G56" i="39"/>
  <c r="F15" i="7" s="1"/>
  <c r="F101" i="39"/>
  <c r="F92" i="39"/>
  <c r="F91" i="39"/>
  <c r="F90" i="39"/>
  <c r="F89" i="39"/>
  <c r="F88" i="39"/>
  <c r="F87" i="39"/>
  <c r="F85" i="39"/>
  <c r="F73" i="39"/>
  <c r="F72" i="39"/>
  <c r="F68" i="39"/>
  <c r="M67" i="39"/>
  <c r="F67" i="39"/>
  <c r="H67" i="39" s="1"/>
  <c r="M66" i="39"/>
  <c r="F66" i="39"/>
  <c r="H66" i="39" s="1"/>
  <c r="F65" i="39"/>
  <c r="F64" i="39"/>
  <c r="F62" i="39"/>
  <c r="F61" i="39"/>
  <c r="F56" i="39"/>
  <c r="F55" i="39"/>
  <c r="F44" i="39"/>
  <c r="H44" i="39" s="1"/>
  <c r="D44" i="39"/>
  <c r="M44" i="39" s="1"/>
  <c r="F43" i="39"/>
  <c r="H43" i="39" s="1"/>
  <c r="M43" i="39"/>
  <c r="F41" i="39"/>
  <c r="H41" i="39" s="1"/>
  <c r="M41" i="39"/>
  <c r="F40" i="39"/>
  <c r="H40" i="39" s="1"/>
  <c r="M40" i="39"/>
  <c r="F17" i="39"/>
  <c r="F16" i="39"/>
  <c r="H16" i="39" s="1"/>
  <c r="F14" i="39"/>
  <c r="H14" i="39" s="1"/>
  <c r="F13" i="39"/>
  <c r="H13" i="39" s="1"/>
  <c r="F11" i="39"/>
  <c r="F10" i="39"/>
  <c r="H10" i="39" s="1"/>
  <c r="F7" i="39"/>
  <c r="M61" i="39" l="1"/>
  <c r="F20" i="7"/>
  <c r="H20" i="7" s="1"/>
  <c r="F31" i="7"/>
  <c r="H31" i="7" s="1"/>
  <c r="L97" i="39"/>
  <c r="L100" i="39"/>
  <c r="L96" i="39"/>
  <c r="L94" i="39"/>
  <c r="L95" i="39"/>
  <c r="L76" i="39"/>
  <c r="L31" i="39"/>
  <c r="L29" i="39"/>
  <c r="L25" i="39"/>
  <c r="L19" i="39"/>
  <c r="L22" i="39"/>
  <c r="L20" i="39"/>
  <c r="L74" i="39"/>
  <c r="L26" i="39"/>
  <c r="L37" i="39"/>
  <c r="L38" i="39"/>
  <c r="L34" i="39"/>
  <c r="L35" i="39"/>
  <c r="L32" i="39"/>
  <c r="L77" i="39"/>
  <c r="L86" i="39"/>
  <c r="L23" i="39"/>
  <c r="L78" i="39"/>
  <c r="L28" i="39"/>
  <c r="L99" i="39"/>
  <c r="L71" i="39"/>
  <c r="L70" i="39"/>
  <c r="L59" i="39"/>
  <c r="L57" i="39"/>
  <c r="L69" i="39"/>
  <c r="L60" i="39"/>
  <c r="L58" i="39"/>
  <c r="H61" i="39"/>
  <c r="I61" i="39" s="1"/>
  <c r="H90" i="39"/>
  <c r="L93" i="39"/>
  <c r="H7" i="39"/>
  <c r="H16" i="7"/>
  <c r="I16" i="7" s="1"/>
  <c r="H15" i="7"/>
  <c r="I15" i="7" s="1"/>
  <c r="H23" i="7"/>
  <c r="I23" i="7" s="1"/>
  <c r="F24" i="7"/>
  <c r="H24" i="7" s="1"/>
  <c r="I24" i="7" s="1"/>
  <c r="F27" i="7"/>
  <c r="H27" i="7" s="1"/>
  <c r="J27" i="7" s="1"/>
  <c r="H92" i="39"/>
  <c r="J92" i="39" s="1"/>
  <c r="G91" i="39"/>
  <c r="H91" i="39" s="1"/>
  <c r="H28" i="7"/>
  <c r="M92" i="39"/>
  <c r="H101" i="39"/>
  <c r="M64" i="39"/>
  <c r="H64" i="39"/>
  <c r="M73" i="39"/>
  <c r="H73" i="39"/>
  <c r="I66" i="39"/>
  <c r="J66" i="39"/>
  <c r="I41" i="39"/>
  <c r="J41" i="39"/>
  <c r="H62" i="39"/>
  <c r="M62" i="39"/>
  <c r="H68" i="39"/>
  <c r="M68" i="39"/>
  <c r="I40" i="39"/>
  <c r="J40" i="39"/>
  <c r="I13" i="39"/>
  <c r="J13" i="39"/>
  <c r="I14" i="39"/>
  <c r="J14" i="39"/>
  <c r="J44" i="39"/>
  <c r="I44" i="39"/>
  <c r="I67" i="39"/>
  <c r="J67" i="39"/>
  <c r="I10" i="39"/>
  <c r="H11" i="39"/>
  <c r="I16" i="39"/>
  <c r="H17" i="39"/>
  <c r="I43" i="39"/>
  <c r="H72" i="39"/>
  <c r="J16" i="39"/>
  <c r="J43" i="39"/>
  <c r="M72" i="39"/>
  <c r="J10" i="39"/>
  <c r="L10" i="39" l="1"/>
  <c r="I20" i="7"/>
  <c r="J20" i="7"/>
  <c r="J31" i="7"/>
  <c r="I31" i="7"/>
  <c r="K31" i="7"/>
  <c r="J90" i="39"/>
  <c r="I7" i="39"/>
  <c r="J61" i="39"/>
  <c r="L61" i="39" s="1"/>
  <c r="I90" i="39"/>
  <c r="J24" i="7"/>
  <c r="K24" i="7" s="1"/>
  <c r="L13" i="39"/>
  <c r="J7" i="39"/>
  <c r="I101" i="39"/>
  <c r="J15" i="7"/>
  <c r="K15" i="7" s="1"/>
  <c r="L44" i="39"/>
  <c r="L41" i="39"/>
  <c r="I92" i="39"/>
  <c r="L92" i="39" s="1"/>
  <c r="I27" i="7"/>
  <c r="K27" i="7" s="1"/>
  <c r="J16" i="7"/>
  <c r="K16" i="7" s="1"/>
  <c r="J23" i="7"/>
  <c r="K23" i="7" s="1"/>
  <c r="M91" i="39"/>
  <c r="I91" i="39"/>
  <c r="J91" i="39"/>
  <c r="L16" i="39"/>
  <c r="K40" i="39"/>
  <c r="J101" i="39"/>
  <c r="I28" i="7"/>
  <c r="J28" i="7"/>
  <c r="K43" i="39"/>
  <c r="K44" i="39"/>
  <c r="K67" i="39"/>
  <c r="L14" i="39"/>
  <c r="L43" i="39"/>
  <c r="K13" i="39"/>
  <c r="L66" i="39"/>
  <c r="L40" i="39"/>
  <c r="K10" i="39"/>
  <c r="J17" i="39"/>
  <c r="I17" i="39"/>
  <c r="M85" i="39"/>
  <c r="H85" i="39"/>
  <c r="L67" i="39"/>
  <c r="K14" i="39"/>
  <c r="J68" i="39"/>
  <c r="I68" i="39"/>
  <c r="K41" i="39"/>
  <c r="K66" i="39"/>
  <c r="I73" i="39"/>
  <c r="J73" i="39"/>
  <c r="M65" i="39"/>
  <c r="H65" i="39"/>
  <c r="J72" i="39"/>
  <c r="I72" i="39"/>
  <c r="K16" i="39"/>
  <c r="M87" i="39"/>
  <c r="H87" i="39"/>
  <c r="M55" i="39"/>
  <c r="H55" i="39"/>
  <c r="J62" i="39"/>
  <c r="I62" i="39"/>
  <c r="M89" i="39"/>
  <c r="H89" i="39"/>
  <c r="M56" i="39"/>
  <c r="H56" i="39"/>
  <c r="J11" i="39"/>
  <c r="I11" i="39"/>
  <c r="M88" i="39"/>
  <c r="H88" i="39"/>
  <c r="J64" i="39"/>
  <c r="I64" i="39"/>
  <c r="K90" i="39" l="1"/>
  <c r="K20" i="7"/>
  <c r="H79" i="39"/>
  <c r="L90" i="39"/>
  <c r="H103" i="39"/>
  <c r="M103" i="39"/>
  <c r="D10" i="8"/>
  <c r="L7" i="39"/>
  <c r="K7" i="39"/>
  <c r="K61" i="39"/>
  <c r="K11" i="39"/>
  <c r="L62" i="39"/>
  <c r="K92" i="39"/>
  <c r="K101" i="39"/>
  <c r="L64" i="39"/>
  <c r="L91" i="39"/>
  <c r="K28" i="7"/>
  <c r="K91" i="39"/>
  <c r="L17" i="39"/>
  <c r="L101" i="39"/>
  <c r="K72" i="39"/>
  <c r="L73" i="39"/>
  <c r="K68" i="39"/>
  <c r="K17" i="39"/>
  <c r="K62" i="39"/>
  <c r="L11" i="39"/>
  <c r="J55" i="39"/>
  <c r="I55" i="39"/>
  <c r="L72" i="39"/>
  <c r="L68" i="39"/>
  <c r="I85" i="39"/>
  <c r="J85" i="39"/>
  <c r="I87" i="39"/>
  <c r="J87" i="39"/>
  <c r="K64" i="39"/>
  <c r="I88" i="39"/>
  <c r="J88" i="39"/>
  <c r="I65" i="39"/>
  <c r="J65" i="39"/>
  <c r="K73" i="39"/>
  <c r="I56" i="39"/>
  <c r="J56" i="39"/>
  <c r="I89" i="39"/>
  <c r="J89" i="39"/>
  <c r="L55" i="39" l="1"/>
  <c r="J79" i="39"/>
  <c r="H104" i="39"/>
  <c r="C3" i="8" s="1"/>
  <c r="I79" i="39"/>
  <c r="J103" i="39"/>
  <c r="I103" i="39"/>
  <c r="L87" i="39"/>
  <c r="K89" i="39"/>
  <c r="L89" i="39"/>
  <c r="L85" i="39"/>
  <c r="L56" i="39"/>
  <c r="L88" i="39"/>
  <c r="K87" i="39"/>
  <c r="L65" i="39"/>
  <c r="K85" i="39"/>
  <c r="K56" i="39"/>
  <c r="K88" i="39"/>
  <c r="K65" i="39"/>
  <c r="K55" i="39"/>
  <c r="K103" i="39" l="1"/>
  <c r="K79" i="39"/>
  <c r="L79" i="39"/>
  <c r="L103" i="39"/>
  <c r="F10" i="8"/>
  <c r="E10" i="8"/>
  <c r="J104" i="39"/>
  <c r="E3" i="8" s="1"/>
  <c r="I104" i="39"/>
  <c r="D3" i="8" s="1"/>
  <c r="L104" i="39" l="1"/>
  <c r="K107" i="39" s="1"/>
  <c r="K104" i="39"/>
  <c r="J107" i="39"/>
  <c r="G3" i="8" l="1"/>
  <c r="C36" i="12"/>
  <c r="D37" i="12" s="1"/>
  <c r="D17" i="41" s="1"/>
  <c r="M17" i="41" s="1"/>
  <c r="C30" i="12"/>
  <c r="D31" i="12" l="1"/>
  <c r="D14" i="41" s="1"/>
  <c r="M14" i="41" s="1"/>
  <c r="C31" i="12"/>
  <c r="D13" i="41" s="1"/>
  <c r="M13" i="41" s="1"/>
  <c r="D17" i="39"/>
  <c r="M17" i="39" s="1"/>
  <c r="C37" i="12"/>
  <c r="D16" i="41" s="1"/>
  <c r="M16" i="41" s="1"/>
  <c r="M109" i="41" l="1"/>
  <c r="D13" i="39"/>
  <c r="M13" i="39" s="1"/>
  <c r="D16" i="39"/>
  <c r="M16" i="39" s="1"/>
  <c r="D14" i="39"/>
  <c r="M14" i="39" s="1"/>
  <c r="D3" i="12"/>
  <c r="E3" i="12" l="1"/>
  <c r="H34" i="7" l="1"/>
  <c r="I34" i="7" s="1"/>
  <c r="H14" i="7"/>
  <c r="J14" i="7" s="1"/>
  <c r="J34" i="7" l="1"/>
  <c r="K34" i="7" s="1"/>
  <c r="I14" i="7"/>
  <c r="K14" i="7" s="1"/>
  <c r="D14" i="8" l="1"/>
  <c r="E6" i="38" l="1"/>
  <c r="H6" i="38"/>
  <c r="H7" i="38" l="1"/>
  <c r="E7" i="38"/>
  <c r="G18" i="12"/>
  <c r="G19" i="12"/>
  <c r="G20" i="12"/>
  <c r="G17" i="12"/>
  <c r="G16" i="12"/>
  <c r="G21" i="12" s="1"/>
  <c r="D11" i="41" s="1"/>
  <c r="M11" i="41" s="1"/>
  <c r="F17" i="12"/>
  <c r="F18" i="12"/>
  <c r="F19" i="12"/>
  <c r="F20" i="12"/>
  <c r="F16" i="12"/>
  <c r="M79" i="41" l="1"/>
  <c r="M104" i="41" s="1"/>
  <c r="H4" i="8" l="1"/>
  <c r="L107" i="41"/>
  <c r="M107" i="41" s="1"/>
  <c r="M110" i="41"/>
  <c r="H5" i="38"/>
  <c r="H19" i="38" s="1"/>
  <c r="D11" i="39"/>
  <c r="M11" i="39" s="1"/>
  <c r="E5" i="38"/>
  <c r="E19" i="38" s="1"/>
  <c r="D10" i="39"/>
  <c r="M10" i="39" s="1"/>
  <c r="M79" i="39" l="1"/>
  <c r="M104" i="39" s="1"/>
  <c r="M110" i="39" s="1"/>
  <c r="M109" i="39"/>
  <c r="L107" i="39" l="1"/>
  <c r="M107" i="39" s="1"/>
  <c r="H3" i="8"/>
  <c r="D92" i="12" l="1"/>
  <c r="D91" i="12"/>
  <c r="D90" i="12"/>
  <c r="L9" i="44" l="1"/>
  <c r="L39" i="43"/>
  <c r="L14" i="43"/>
  <c r="L9" i="43"/>
  <c r="L38" i="7"/>
  <c r="L30" i="44"/>
  <c r="L37" i="7"/>
  <c r="L34" i="44"/>
  <c r="L24" i="44"/>
  <c r="L19" i="7"/>
  <c r="L36" i="7"/>
  <c r="L6" i="44"/>
  <c r="L39" i="44"/>
  <c r="L18" i="44"/>
  <c r="L19" i="43"/>
  <c r="L38" i="43"/>
  <c r="L33" i="7"/>
  <c r="L36" i="44"/>
  <c r="L16" i="44"/>
  <c r="L20" i="43"/>
  <c r="L26" i="44"/>
  <c r="L33" i="44"/>
  <c r="L23" i="44"/>
  <c r="L19" i="44"/>
  <c r="L24" i="43"/>
  <c r="L36" i="43"/>
  <c r="L32" i="7"/>
  <c r="L32" i="44"/>
  <c r="L8" i="43"/>
  <c r="L31" i="44"/>
  <c r="L37" i="43"/>
  <c r="L14" i="44"/>
  <c r="L18" i="7"/>
  <c r="L6" i="43"/>
  <c r="L30" i="43"/>
  <c r="L8" i="44"/>
  <c r="L28" i="43"/>
  <c r="L34" i="43"/>
  <c r="L17" i="43"/>
  <c r="L28" i="44"/>
  <c r="L31" i="43"/>
  <c r="L23" i="43"/>
  <c r="L30" i="7"/>
  <c r="L16" i="43"/>
  <c r="L29" i="44"/>
  <c r="L15" i="44"/>
  <c r="L21" i="44"/>
  <c r="L26" i="43"/>
  <c r="L32" i="43"/>
  <c r="L27" i="44"/>
  <c r="L38" i="44"/>
  <c r="L31" i="7"/>
  <c r="L37" i="44"/>
  <c r="L25" i="43"/>
  <c r="L17" i="44"/>
  <c r="L15" i="43"/>
  <c r="L18" i="43"/>
  <c r="L25" i="44"/>
  <c r="L27" i="43"/>
  <c r="L20" i="44"/>
  <c r="L29" i="43"/>
  <c r="L21" i="43"/>
  <c r="L33" i="43"/>
  <c r="L20" i="7"/>
  <c r="L21" i="7"/>
  <c r="L17" i="7"/>
  <c r="L26" i="7"/>
  <c r="L25" i="7"/>
  <c r="L29" i="7"/>
  <c r="L27" i="7"/>
  <c r="L24" i="7"/>
  <c r="L23" i="7"/>
  <c r="L15" i="7"/>
  <c r="L16" i="7"/>
  <c r="L28" i="7"/>
  <c r="L34" i="7"/>
  <c r="L14" i="7"/>
  <c r="L41" i="44" l="1"/>
  <c r="G6" i="11" s="1"/>
  <c r="L41" i="43"/>
  <c r="G5" i="11" s="1"/>
  <c r="G11" i="8"/>
  <c r="I11" i="8" s="1"/>
  <c r="H11" i="8" l="1"/>
  <c r="F4" i="8" l="1"/>
  <c r="F6" i="11"/>
  <c r="F5" i="11"/>
  <c r="I4" i="8" l="1"/>
  <c r="H8" i="11"/>
  <c r="H7" i="11"/>
  <c r="D13" i="8" l="1"/>
  <c r="F5" i="8" l="1"/>
  <c r="I5" i="8" l="1"/>
  <c r="I6" i="11"/>
  <c r="I5" i="11"/>
  <c r="H39" i="7"/>
  <c r="B9" i="7"/>
  <c r="H6" i="7"/>
  <c r="J39" i="7" l="1"/>
  <c r="I39" i="7"/>
  <c r="I6" i="7"/>
  <c r="J6" i="7"/>
  <c r="K39" i="7" l="1"/>
  <c r="L39" i="7"/>
  <c r="L6" i="7"/>
  <c r="K6" i="7"/>
  <c r="H9" i="7" l="1"/>
  <c r="J9" i="7" l="1"/>
  <c r="I9" i="7"/>
  <c r="H41" i="7" l="1"/>
  <c r="C4" i="11" s="1"/>
  <c r="L9" i="7"/>
  <c r="K9" i="7"/>
  <c r="I8" i="7"/>
  <c r="I41" i="7" s="1"/>
  <c r="D4" i="11" s="1"/>
  <c r="J8" i="7"/>
  <c r="J41" i="7" s="1"/>
  <c r="E4" i="11" s="1"/>
  <c r="K8" i="7" l="1"/>
  <c r="K41" i="7" s="1"/>
  <c r="L8" i="7"/>
  <c r="L41" i="7" s="1"/>
  <c r="G4" i="11" s="1"/>
  <c r="E13" i="8"/>
  <c r="G12" i="8"/>
  <c r="I12" i="8" s="1"/>
  <c r="C8" i="11"/>
  <c r="F4" i="11"/>
  <c r="C7" i="8"/>
  <c r="C6" i="8"/>
  <c r="D8" i="11"/>
  <c r="E8" i="11"/>
  <c r="C7" i="11"/>
  <c r="H12" i="8" l="1"/>
  <c r="F14" i="8"/>
  <c r="D7" i="11"/>
  <c r="E14" i="8"/>
  <c r="I3" i="8"/>
  <c r="F13" i="8"/>
  <c r="E7" i="11"/>
  <c r="G10" i="8"/>
  <c r="E6" i="8"/>
  <c r="H7" i="8"/>
  <c r="I4" i="11"/>
  <c r="H10" i="8" l="1"/>
  <c r="I10" i="8"/>
  <c r="G14" i="8"/>
  <c r="G7" i="8"/>
  <c r="G7" i="11"/>
  <c r="G13" i="8"/>
  <c r="F7" i="11"/>
  <c r="F8" i="11"/>
  <c r="G8" i="11"/>
  <c r="E7" i="8"/>
  <c r="F3" i="8"/>
  <c r="I7" i="11"/>
  <c r="I8" i="11"/>
  <c r="H6" i="8"/>
  <c r="D7" i="8"/>
  <c r="D6" i="8"/>
  <c r="H13" i="8" l="1"/>
  <c r="I13" i="8"/>
  <c r="H14" i="8"/>
  <c r="I14" i="8"/>
  <c r="I6" i="8"/>
  <c r="G6" i="8"/>
  <c r="F7" i="8"/>
  <c r="F6" i="8"/>
  <c r="I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5ED2B701-F58C-49B0-B22A-D535AD0235BD}">
      <text>
        <r>
          <rPr>
            <b/>
            <sz val="9"/>
            <color indexed="81"/>
            <rFont val="Tahoma"/>
            <charset val="1"/>
          </rPr>
          <t>Author:</t>
        </r>
        <r>
          <rPr>
            <sz val="9"/>
            <color indexed="81"/>
            <rFont val="Tahoma"/>
            <charset val="1"/>
          </rPr>
          <t xml:space="preserve">
Where do we find these numbers?
Send list; extra HON EtO: hex, wastewater, flare load limit, maintenance vent limit etc.
Other than EtO: D/F limits w performance testing; fenceline monitoring (starts in year 1); removal of TRE process vent (instead people will have to control process vents)</t>
        </r>
      </text>
    </comment>
  </commentList>
</comments>
</file>

<file path=xl/sharedStrings.xml><?xml version="1.0" encoding="utf-8"?>
<sst xmlns="http://schemas.openxmlformats.org/spreadsheetml/2006/main" count="904" uniqueCount="326">
  <si>
    <t>Technical</t>
  </si>
  <si>
    <t>Clerical</t>
  </si>
  <si>
    <t>Burden Item</t>
  </si>
  <si>
    <t>(A)
Respondent Hours per Occurrence (Technical hours)</t>
  </si>
  <si>
    <t>(A)</t>
  </si>
  <si>
    <t>(B)</t>
  </si>
  <si>
    <t>(C)</t>
  </si>
  <si>
    <t>(D)</t>
  </si>
  <si>
    <t>(E)</t>
  </si>
  <si>
    <t>(F)</t>
  </si>
  <si>
    <t>Number of Occurrences Per Year</t>
  </si>
  <si>
    <t>1.</t>
  </si>
  <si>
    <t>Applications</t>
  </si>
  <si>
    <t>not applicable</t>
  </si>
  <si>
    <t>2.</t>
  </si>
  <si>
    <t>3.</t>
  </si>
  <si>
    <t>Required Activities</t>
  </si>
  <si>
    <t>A.</t>
  </si>
  <si>
    <t>Observe stack tests</t>
  </si>
  <si>
    <t>B.</t>
  </si>
  <si>
    <t>Excess emissions -- Enforcement Activities</t>
  </si>
  <si>
    <t>C.</t>
  </si>
  <si>
    <t>Create Information</t>
  </si>
  <si>
    <t>D.</t>
  </si>
  <si>
    <t>Gather Information</t>
  </si>
  <si>
    <t>E.</t>
  </si>
  <si>
    <t>Report Reviews</t>
  </si>
  <si>
    <t>F.</t>
  </si>
  <si>
    <t>Prepare annual summary report</t>
  </si>
  <si>
    <t xml:space="preserve">Travel expenses:  (1 person *  30 hours per year / 8 hours per day * $75 per diem) + ($600 per round trip) = </t>
  </si>
  <si>
    <t>per trip</t>
  </si>
  <si>
    <t>TOTAL</t>
  </si>
  <si>
    <t>Percent of Stack Tests Observed</t>
  </si>
  <si>
    <t>Estimated Percent Retesting</t>
  </si>
  <si>
    <t>Estimated Percent Emission Exceedences</t>
  </si>
  <si>
    <t>Year</t>
  </si>
  <si>
    <t>Technical Hours</t>
  </si>
  <si>
    <t>Management Hours</t>
  </si>
  <si>
    <t>Clerical Hours</t>
  </si>
  <si>
    <t>Total Labor Hours</t>
  </si>
  <si>
    <t>Labor Costs</t>
  </si>
  <si>
    <t>Non-Labor (Annualized Capital/Startup and O&amp;M) Costs</t>
  </si>
  <si>
    <t>Total Costs</t>
  </si>
  <si>
    <t>Total</t>
  </si>
  <si>
    <t>Average</t>
  </si>
  <si>
    <t>Hourly Mean Wage</t>
  </si>
  <si>
    <t>With  Fringe &amp; Overhead</t>
  </si>
  <si>
    <t>(GS- 12, step 1) - Tech.</t>
  </si>
  <si>
    <t>(GS- 13, step 5) - Mgmt.</t>
  </si>
  <si>
    <t>(GS-6, step 3) - Cler.</t>
  </si>
  <si>
    <t>4.</t>
  </si>
  <si>
    <t>Total Hours</t>
  </si>
  <si>
    <t>Non-Labor Costs</t>
  </si>
  <si>
    <t>4.  Recordkeeping Requirements</t>
  </si>
  <si>
    <t>A.  Read Instructions</t>
  </si>
  <si>
    <t>C.  Develop Record System</t>
  </si>
  <si>
    <t>Recordkeeping Subtotal</t>
  </si>
  <si>
    <t>1.  Applications</t>
  </si>
  <si>
    <t>NA</t>
  </si>
  <si>
    <t>2.  Surveys and Studies</t>
  </si>
  <si>
    <t>3.  Reporting Requirements</t>
  </si>
  <si>
    <t>B.  Required Activities</t>
  </si>
  <si>
    <t>C.  Create Information</t>
  </si>
  <si>
    <t>D.  Gather Information</t>
  </si>
  <si>
    <t>Inc. in 3B</t>
  </si>
  <si>
    <t>Inc. in 3E</t>
  </si>
  <si>
    <t>E.  Report Preparation</t>
  </si>
  <si>
    <t>Reporting Subtotal</t>
  </si>
  <si>
    <t>D.  Record information</t>
  </si>
  <si>
    <t>F.  Time for Audits</t>
  </si>
  <si>
    <t>Labor</t>
  </si>
  <si>
    <t>Non-Labor</t>
  </si>
  <si>
    <t>Summary of Respondent Burden</t>
  </si>
  <si>
    <t>Initial Capital and Startup</t>
  </si>
  <si>
    <t>Annualized Capital/Start-up and O &amp; M</t>
  </si>
  <si>
    <t>(B) 
Non-Labor Costs Per Occurrence</t>
  </si>
  <si>
    <t>Category</t>
  </si>
  <si>
    <t>Occupation Code</t>
  </si>
  <si>
    <t>Number of Responses</t>
  </si>
  <si>
    <t>Reporting Hours</t>
  </si>
  <si>
    <t>Recordkeeping Hours</t>
  </si>
  <si>
    <t>Hours per Response</t>
  </si>
  <si>
    <t>(C) 
Number of Occurrences Per Respondent Per Year</t>
  </si>
  <si>
    <t>(E)
Number of Respondents Per Year</t>
  </si>
  <si>
    <t>(G) 
Clerical Hours per Year
(F X 0.1)</t>
  </si>
  <si>
    <t>(H)
Management Hours per Year
(F X .05)</t>
  </si>
  <si>
    <t>Footnotes:</t>
  </si>
  <si>
    <t>Tech Hours Per Year
(C=A x B)</t>
  </si>
  <si>
    <t>Management Hours Per Year
(D = C x 0.05)</t>
  </si>
  <si>
    <t>Clerical Hours Per Year
(E = C x 0.1)</t>
  </si>
  <si>
    <t>(F)
Technical Hours per Year
(D X E)</t>
  </si>
  <si>
    <t>B.  Implement Activities</t>
  </si>
  <si>
    <t>Capital Cost</t>
  </si>
  <si>
    <t>a.  Capital Cost</t>
  </si>
  <si>
    <t>b.  Annualized Cost</t>
  </si>
  <si>
    <t>Inc. in 3.A</t>
  </si>
  <si>
    <t>https://www.opm.gov/policy-data-oversight/pay-leave/salaries-wages/salary-tables/pdf/2016/GS_h.pdf</t>
  </si>
  <si>
    <t>or https://www.opm.gov/policy-data-oversight/pay-leave/salaries-wages/</t>
  </si>
  <si>
    <t>Hours Per Respondent</t>
  </si>
  <si>
    <t>(D)
Technical Hours per Respondent Per Year
 (A X C)</t>
  </si>
  <si>
    <t>Number of Respondents</t>
  </si>
  <si>
    <t>Technical Hours Per Occurrence</t>
  </si>
  <si>
    <t>Total Hours Per Year (C+D+E)</t>
  </si>
  <si>
    <t>(G)</t>
  </si>
  <si>
    <t>(I)
Total Hours per Year
(F + G + H)</t>
  </si>
  <si>
    <t>(J)
Total Labor Costs Per Year</t>
  </si>
  <si>
    <t>(K)
Total Non-Labor Costs Per Year 
(B x C x E)</t>
  </si>
  <si>
    <t>Capital/Startup and O&amp;M Costs</t>
  </si>
  <si>
    <t>a.  Flares</t>
  </si>
  <si>
    <t>b.  PRDs</t>
  </si>
  <si>
    <t>Annual Cost</t>
  </si>
  <si>
    <t>Parameter</t>
  </si>
  <si>
    <t>Flare Management Plan - One-time cost</t>
  </si>
  <si>
    <t>Value</t>
  </si>
  <si>
    <t>Capital Equipment Cost ($/flare)</t>
  </si>
  <si>
    <t>Annualized Cost ($/yr/flare)</t>
  </si>
  <si>
    <t>Number of Flares Impacted</t>
  </si>
  <si>
    <t>Calorimeter</t>
  </si>
  <si>
    <t>Flare Gas Flow Monitor</t>
  </si>
  <si>
    <t>Steam Controls/Flow Monitor</t>
  </si>
  <si>
    <t>Air Controls/Flow Monitor</t>
  </si>
  <si>
    <t>EPA Wages</t>
  </si>
  <si>
    <t>Industry Wages</t>
  </si>
  <si>
    <t>H2 Analyzer</t>
  </si>
  <si>
    <t>Nationwide Capital Equipment Cost ($)</t>
  </si>
  <si>
    <t>Nationwide Total Annualized Cost ($/yr)</t>
  </si>
  <si>
    <t>Monitoring Equipment</t>
  </si>
  <si>
    <t>PRD Monitor</t>
  </si>
  <si>
    <t>e.  HEX El Paso Method</t>
  </si>
  <si>
    <t># facilities with atmospheric PRDs</t>
  </si>
  <si>
    <t>Review flare management plan</t>
  </si>
  <si>
    <t>Review notification of compliance status</t>
  </si>
  <si>
    <t>Flare Monitors</t>
  </si>
  <si>
    <t>Capital/Startup Costs for One Respondent</t>
  </si>
  <si>
    <t>Number of Respondents with Capital/Startup Costs</t>
  </si>
  <si>
    <t>Annual Cost (O&amp;M and Capital) for One Respondent</t>
  </si>
  <si>
    <t>Total Capital/ Startup Cost
(B X C)</t>
  </si>
  <si>
    <t>Total Annual Cost,
(E X F)</t>
  </si>
  <si>
    <t>Source &amp; Monitor Type</t>
  </si>
  <si>
    <t>1/3 of facilities</t>
  </si>
  <si>
    <t>2/3 of facilities</t>
  </si>
  <si>
    <t>All facilities</t>
  </si>
  <si>
    <t>Information Collection Activity</t>
  </si>
  <si>
    <t>Number of Existing Respondents That Keep Records But Do Not Submit Reports</t>
  </si>
  <si>
    <t>Total Annual Responses</t>
  </si>
  <si>
    <t>Periodic Reports</t>
  </si>
  <si>
    <r>
      <t>Number of Respondents</t>
    </r>
    <r>
      <rPr>
        <vertAlign val="superscript"/>
        <sz val="10"/>
        <color rgb="FF000000"/>
        <rFont val="Times New Roman"/>
        <family val="1"/>
      </rPr>
      <t>a</t>
    </r>
  </si>
  <si>
    <t>Monitor Capital Cost</t>
  </si>
  <si>
    <t>Monitor Annual Cost</t>
  </si>
  <si>
    <t>2.  PRD Monitor</t>
  </si>
  <si>
    <t>3.  HEX El Paso Method</t>
  </si>
  <si>
    <t>Avg. Cost Per Facility</t>
  </si>
  <si>
    <t>Flare Monitor Costs</t>
  </si>
  <si>
    <t>a.  Initial Testing</t>
  </si>
  <si>
    <t>c.  Maintenance Vents</t>
  </si>
  <si>
    <t>d.  Bypass Lines</t>
  </si>
  <si>
    <t>1.  Notification of Compliance Status</t>
  </si>
  <si>
    <t>2.  Periodic Report</t>
  </si>
  <si>
    <t>Review periodic reports</t>
  </si>
  <si>
    <t>Flares</t>
  </si>
  <si>
    <t>PRDs</t>
  </si>
  <si>
    <t>Maintenance Vents</t>
  </si>
  <si>
    <t>Bypass Lines</t>
  </si>
  <si>
    <t>HEX El Paso Method</t>
  </si>
  <si>
    <t>11-9041</t>
  </si>
  <si>
    <t>NAICS 325000 - Chemical Manufacturing</t>
  </si>
  <si>
    <t>Ethylene Oxide Equipment Leaks</t>
  </si>
  <si>
    <t>Ethylene Oxide Process Vents &amp; Storage Tanks</t>
  </si>
  <si>
    <t># HON Facilities</t>
  </si>
  <si>
    <t>HON</t>
  </si>
  <si>
    <t>HON w/ EtO</t>
  </si>
  <si>
    <t># ETO Facilities w/ Flares</t>
  </si>
  <si>
    <t># Facilities w/ Equip. Leaks</t>
  </si>
  <si>
    <t># Facilities w/ HEX</t>
  </si>
  <si>
    <t># Facilities w/ PV &amp; SV</t>
  </si>
  <si>
    <t># Facilities w/ Wastewater</t>
  </si>
  <si>
    <t>CECPI 2016 -&gt; 2021</t>
  </si>
  <si>
    <t>PRD Work Practice &amp; Monitor</t>
  </si>
  <si>
    <t>PRD Work Practice</t>
  </si>
  <si>
    <t>Implement Prevention Measures</t>
  </si>
  <si>
    <t>Root Cause Analysis &amp; Corrective Action</t>
  </si>
  <si>
    <t># facilities with HEX</t>
  </si>
  <si>
    <t>HEX El Paso Method Monitor &amp; Repair</t>
  </si>
  <si>
    <t>Carbon Adsorber Monitoring and Performance Test</t>
  </si>
  <si>
    <t># facilities with Adsorber</t>
  </si>
  <si>
    <t>Pressure Vessel Monitoring</t>
  </si>
  <si>
    <t># facilities with Pressure Vessel</t>
  </si>
  <si>
    <t>Storage Vessel Planned Routine Maintenance</t>
  </si>
  <si>
    <t>Dioxin/Furan Monitoring &amp; Performance Testing</t>
  </si>
  <si>
    <t># facilities producing chlorinated compounds</t>
  </si>
  <si>
    <t>Fenceline Monitoring</t>
  </si>
  <si>
    <t># facilities impacted</t>
  </si>
  <si>
    <t>HEX ETO Modified El Paso Method Monitor &amp; Repair</t>
  </si>
  <si>
    <t># facilities with HEX ETO</t>
  </si>
  <si>
    <t>ETO Process Vent &amp; Storage Vessel RTO</t>
  </si>
  <si>
    <t># facilities that need an RTO</t>
  </si>
  <si>
    <t>Equipment Leaks ETO (valves &amp; connectors 100 ppm, pumps 500 ppm, monthly monitoring)</t>
  </si>
  <si>
    <t>Process Vent TRE and Maintenance Vent Requirements</t>
  </si>
  <si>
    <t>Maintenance vent requirements</t>
  </si>
  <si>
    <t>Revising the standard from a TRE calculation to control of all vent streams</t>
  </si>
  <si>
    <t>ETO Process Vents and Tanks - Monitoring &amp; Testing</t>
  </si>
  <si>
    <t>5.  Pressure Vessel Monitoring</t>
  </si>
  <si>
    <t>6. Storage Vessel Planned Routine Maintenance Control</t>
  </si>
  <si>
    <t>9.  Process Vent - TRE Removal and Maintenance Vent Control</t>
  </si>
  <si>
    <t>Initial Testing</t>
  </si>
  <si>
    <t>Testing: 5-yr Re-test</t>
  </si>
  <si>
    <t>c. Process Vents</t>
  </si>
  <si>
    <t>d. Storage Vessels</t>
  </si>
  <si>
    <t>e. Carbon Adsorbers</t>
  </si>
  <si>
    <t>f.  Storage Vessel Routine Maintenance</t>
  </si>
  <si>
    <t>g.  Carbon Adsorbers</t>
  </si>
  <si>
    <t>h.  Pressure Vessels</t>
  </si>
  <si>
    <t>k.  Ethylene Oxide Wastewater Group 1</t>
  </si>
  <si>
    <t>a. Site-specific monitoring plan</t>
  </si>
  <si>
    <t>b. Corrective action plan</t>
  </si>
  <si>
    <t>c. Quarterly reports</t>
  </si>
  <si>
    <t>3.  PRDs</t>
  </si>
  <si>
    <t>5.  Maintenance Vents</t>
  </si>
  <si>
    <t>8.  Flare Management Plan</t>
  </si>
  <si>
    <t>9.  Tank Degassing</t>
  </si>
  <si>
    <t>12. Pressure Vessels</t>
  </si>
  <si>
    <t>2.  Flares</t>
  </si>
  <si>
    <t>17-2112</t>
  </si>
  <si>
    <t>Management</t>
  </si>
  <si>
    <t>43-9061</t>
  </si>
  <si>
    <t>Mean hourly rate ($/hr)</t>
  </si>
  <si>
    <t>Fringe Benefit Loading Rate</t>
  </si>
  <si>
    <t>Overhead and Profit Rate</t>
  </si>
  <si>
    <t>Loaded Rate ($/hr)</t>
  </si>
  <si>
    <t>May 2021 National Industry-Specific Occupational Employment and Wage Estimates</t>
  </si>
  <si>
    <t>https://www.bls.gov/oes/2021/may/naics3_325000.htm</t>
  </si>
  <si>
    <t>c.  Process Vents</t>
  </si>
  <si>
    <t>d.  Storage Vessels</t>
  </si>
  <si>
    <t>f. Ethylene Oxide Wastewater Group 1</t>
  </si>
  <si>
    <t>g.  Ethylene Oxide Process Vents &amp; Tanks</t>
  </si>
  <si>
    <t>h.  Ethylene Oxide Eq. Leaks</t>
  </si>
  <si>
    <t>i. Ethylene Oxide Process Vents</t>
  </si>
  <si>
    <t>j.  Ethylene Oxide Equipment Leaks</t>
  </si>
  <si>
    <t>a. Site specific monitoring plan</t>
  </si>
  <si>
    <t>PRD Work Practice &amp; Monitors</t>
  </si>
  <si>
    <t>Pressure Vessel Monitors</t>
  </si>
  <si>
    <t>Heat Exchangers - El Paso Method Monitors and Repair</t>
  </si>
  <si>
    <t xml:space="preserve">Process Vent TRE and Maintenance Vent Requirements </t>
  </si>
  <si>
    <t>Ethylene Oxide Equipment Leaks Monitors</t>
  </si>
  <si>
    <r>
      <t xml:space="preserve">(E)
Number of Respondents Per Year </t>
    </r>
    <r>
      <rPr>
        <vertAlign val="superscript"/>
        <sz val="8"/>
        <rFont val="Arial"/>
        <family val="2"/>
      </rPr>
      <t>a</t>
    </r>
  </si>
  <si>
    <r>
      <t xml:space="preserve">(J)
Total Labor Costs Per Year </t>
    </r>
    <r>
      <rPr>
        <vertAlign val="superscript"/>
        <sz val="8"/>
        <rFont val="Arial"/>
        <family val="2"/>
      </rPr>
      <t>b</t>
    </r>
  </si>
  <si>
    <r>
      <t xml:space="preserve">A.  Read Rule </t>
    </r>
    <r>
      <rPr>
        <vertAlign val="superscript"/>
        <sz val="8"/>
        <rFont val="Arial"/>
        <family val="2"/>
      </rPr>
      <t>c</t>
    </r>
  </si>
  <si>
    <r>
      <t xml:space="preserve">1.  Flare Monitors </t>
    </r>
    <r>
      <rPr>
        <vertAlign val="superscript"/>
        <sz val="8"/>
        <rFont val="Arial"/>
        <family val="2"/>
      </rPr>
      <t>d</t>
    </r>
  </si>
  <si>
    <r>
      <t xml:space="preserve">4.  Carbon Adsorber Monitoring and Performance Test </t>
    </r>
    <r>
      <rPr>
        <vertAlign val="superscript"/>
        <sz val="8"/>
        <rFont val="Arial"/>
        <family val="2"/>
      </rPr>
      <t>e</t>
    </r>
  </si>
  <si>
    <r>
      <t xml:space="preserve">7.  Dioxin/Furan Monitoring and Performance Test </t>
    </r>
    <r>
      <rPr>
        <vertAlign val="superscript"/>
        <sz val="8"/>
        <rFont val="Arial"/>
        <family val="2"/>
      </rPr>
      <t>f</t>
    </r>
  </si>
  <si>
    <r>
      <t xml:space="preserve">8.  Fenceline Monitoring </t>
    </r>
    <r>
      <rPr>
        <vertAlign val="superscript"/>
        <sz val="8"/>
        <rFont val="Arial"/>
        <family val="2"/>
      </rPr>
      <t>g</t>
    </r>
  </si>
  <si>
    <r>
      <t xml:space="preserve">10.  Ethylene Oxide Process Vents &amp; Storage Tanks - Control Device </t>
    </r>
    <r>
      <rPr>
        <vertAlign val="superscript"/>
        <sz val="8"/>
        <rFont val="Arial"/>
        <family val="2"/>
      </rPr>
      <t>h</t>
    </r>
  </si>
  <si>
    <r>
      <t xml:space="preserve">11.  Ethylene Oxide Process Vents &amp; Storage Tanks - Control Device Monitor </t>
    </r>
    <r>
      <rPr>
        <vertAlign val="superscript"/>
        <sz val="8"/>
        <rFont val="Arial"/>
        <family val="2"/>
      </rPr>
      <t>h</t>
    </r>
  </si>
  <si>
    <r>
      <t xml:space="preserve">12.  Ethylene Oxide Process Vents &amp; Storage Tanks - Control Device Testing </t>
    </r>
    <r>
      <rPr>
        <vertAlign val="superscript"/>
        <sz val="8"/>
        <rFont val="Arial"/>
        <family val="2"/>
      </rPr>
      <t>h</t>
    </r>
  </si>
  <si>
    <r>
      <t xml:space="preserve">b.  Re-Testing </t>
    </r>
    <r>
      <rPr>
        <vertAlign val="superscript"/>
        <sz val="8"/>
        <rFont val="Arial"/>
        <family val="2"/>
      </rPr>
      <t>i</t>
    </r>
  </si>
  <si>
    <r>
      <t xml:space="preserve">13.  Ethylene Oxide HEX Modified El Paso Method </t>
    </r>
    <r>
      <rPr>
        <vertAlign val="superscript"/>
        <sz val="8"/>
        <rFont val="Arial"/>
        <family val="2"/>
      </rPr>
      <t>h</t>
    </r>
  </si>
  <si>
    <r>
      <t xml:space="preserve">14.  Ethylene Oxide Equipment Leaks </t>
    </r>
    <r>
      <rPr>
        <vertAlign val="superscript"/>
        <sz val="8"/>
        <rFont val="Arial"/>
        <family val="2"/>
      </rPr>
      <t>h</t>
    </r>
  </si>
  <si>
    <r>
      <t xml:space="preserve">f.  Ethylene Oxide Wastewater Group 1 </t>
    </r>
    <r>
      <rPr>
        <vertAlign val="superscript"/>
        <sz val="8"/>
        <rFont val="Arial"/>
        <family val="2"/>
      </rPr>
      <t>h</t>
    </r>
  </si>
  <si>
    <r>
      <t xml:space="preserve">g.  Ethylene Oxide Process Vents &amp; Tanks </t>
    </r>
    <r>
      <rPr>
        <vertAlign val="superscript"/>
        <sz val="8"/>
        <rFont val="Arial"/>
        <family val="2"/>
      </rPr>
      <t>h</t>
    </r>
  </si>
  <si>
    <r>
      <t xml:space="preserve">h.  Ethylene Oxide Eq. Leaks </t>
    </r>
    <r>
      <rPr>
        <vertAlign val="superscript"/>
        <sz val="8"/>
        <rFont val="Arial"/>
        <family val="2"/>
      </rPr>
      <t>h</t>
    </r>
  </si>
  <si>
    <r>
      <t xml:space="preserve">d.  Bypass Lines </t>
    </r>
    <r>
      <rPr>
        <vertAlign val="superscript"/>
        <sz val="8"/>
        <rFont val="Arial"/>
        <family val="2"/>
      </rPr>
      <t>j</t>
    </r>
  </si>
  <si>
    <r>
      <t xml:space="preserve">i.  Ethylene Oxide Process Vents </t>
    </r>
    <r>
      <rPr>
        <vertAlign val="superscript"/>
        <sz val="8"/>
        <rFont val="Arial"/>
        <family val="2"/>
      </rPr>
      <t>h</t>
    </r>
  </si>
  <si>
    <r>
      <t xml:space="preserve">j.  Ethylene Oxide Eq. Leaks </t>
    </r>
    <r>
      <rPr>
        <vertAlign val="superscript"/>
        <sz val="8"/>
        <rFont val="Arial"/>
        <family val="2"/>
      </rPr>
      <t>h</t>
    </r>
  </si>
  <si>
    <r>
      <t xml:space="preserve">k.  Ethylene Oxide Wastewater Group 1 </t>
    </r>
    <r>
      <rPr>
        <vertAlign val="superscript"/>
        <sz val="8"/>
        <rFont val="Arial"/>
        <family val="2"/>
      </rPr>
      <t>h</t>
    </r>
  </si>
  <si>
    <r>
      <t xml:space="preserve">3.  Fenceline Monitoring </t>
    </r>
    <r>
      <rPr>
        <vertAlign val="superscript"/>
        <sz val="8"/>
        <rFont val="Arial"/>
        <family val="2"/>
      </rPr>
      <t>g</t>
    </r>
  </si>
  <si>
    <r>
      <t xml:space="preserve">1.  Ethylene Oxide Flare Load </t>
    </r>
    <r>
      <rPr>
        <vertAlign val="superscript"/>
        <sz val="8"/>
        <rFont val="Arial"/>
        <family val="2"/>
      </rPr>
      <t>h</t>
    </r>
  </si>
  <si>
    <r>
      <t xml:space="preserve">E.  Personnel Training </t>
    </r>
    <r>
      <rPr>
        <vertAlign val="superscript"/>
        <sz val="8"/>
        <rFont val="Arial"/>
        <family val="2"/>
      </rPr>
      <t>c</t>
    </r>
  </si>
  <si>
    <r>
      <t xml:space="preserve">4.  HEX El Paso Method </t>
    </r>
    <r>
      <rPr>
        <vertAlign val="superscript"/>
        <sz val="8"/>
        <rFont val="Arial"/>
        <family val="2"/>
      </rPr>
      <t>k</t>
    </r>
  </si>
  <si>
    <r>
      <t xml:space="preserve">6.  Bypass Lines </t>
    </r>
    <r>
      <rPr>
        <vertAlign val="superscript"/>
        <sz val="8"/>
        <rFont val="Arial"/>
        <family val="2"/>
      </rPr>
      <t>j</t>
    </r>
  </si>
  <si>
    <r>
      <t xml:space="preserve">e. Carbon Adsorbers </t>
    </r>
    <r>
      <rPr>
        <vertAlign val="superscript"/>
        <sz val="8"/>
        <rFont val="Arial"/>
        <family val="2"/>
      </rPr>
      <t>e</t>
    </r>
  </si>
  <si>
    <r>
      <t xml:space="preserve">g.  Carbon Adsorbers </t>
    </r>
    <r>
      <rPr>
        <vertAlign val="superscript"/>
        <sz val="8"/>
        <rFont val="Arial"/>
        <family val="2"/>
      </rPr>
      <t>e</t>
    </r>
  </si>
  <si>
    <r>
      <t xml:space="preserve">10. Parameter monitoring for adsorbers, condensers, and carbon adsorbers </t>
    </r>
    <r>
      <rPr>
        <vertAlign val="superscript"/>
        <sz val="8"/>
        <rFont val="Arial"/>
        <family val="2"/>
      </rPr>
      <t>e</t>
    </r>
  </si>
  <si>
    <r>
      <t xml:space="preserve">11. Dioxin/Furan concentration </t>
    </r>
    <r>
      <rPr>
        <vertAlign val="superscript"/>
        <sz val="8"/>
        <rFont val="Arial"/>
        <family val="2"/>
      </rPr>
      <t>f</t>
    </r>
  </si>
  <si>
    <r>
      <t xml:space="preserve">13. Ethylene Oxide Equipment Leaks </t>
    </r>
    <r>
      <rPr>
        <vertAlign val="superscript"/>
        <sz val="8"/>
        <rFont val="Arial"/>
        <family val="2"/>
      </rPr>
      <t>h</t>
    </r>
  </si>
  <si>
    <r>
      <t xml:space="preserve">14. Ethylene Oxide Wastewater Group 1 </t>
    </r>
    <r>
      <rPr>
        <vertAlign val="superscript"/>
        <sz val="8"/>
        <rFont val="Arial"/>
        <family val="2"/>
      </rPr>
      <t>h</t>
    </r>
  </si>
  <si>
    <r>
      <t xml:space="preserve">7.  Ethylene Oxide Process Vents &amp; Tanks </t>
    </r>
    <r>
      <rPr>
        <vertAlign val="superscript"/>
        <sz val="8"/>
        <rFont val="Arial"/>
        <family val="2"/>
      </rPr>
      <t>h</t>
    </r>
  </si>
  <si>
    <r>
      <t xml:space="preserve">15. Fenceline Monitoring - Meteorological data </t>
    </r>
    <r>
      <rPr>
        <vertAlign val="superscript"/>
        <sz val="8"/>
        <rFont val="Arial"/>
        <family val="2"/>
      </rPr>
      <t>g</t>
    </r>
  </si>
  <si>
    <r>
      <t xml:space="preserve">16. Fenceline Monitoring - Sampling </t>
    </r>
    <r>
      <rPr>
        <vertAlign val="superscript"/>
        <sz val="8"/>
        <rFont val="Arial"/>
        <family val="2"/>
      </rPr>
      <t>g</t>
    </r>
  </si>
  <si>
    <t>(b) 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</si>
  <si>
    <t xml:space="preserve">(a) We have assumed that there are approximately 207 existing respondents, with 2 additional sources becoming subject to the rule over the three-year period of this ICR. We assume that one-third of the existing facilities would begin complying in year 2 and the remaining two-thirds of the existing facilities in year 3. </t>
  </si>
  <si>
    <t>(c) This is a one-time cost.</t>
  </si>
  <si>
    <t>(d) Includes costs for the following monitoring equipment: H2 analyzer, calorimeter, flare gas flow monitor, steam controls/flow monitor, and air controls/flow monitor.</t>
  </si>
  <si>
    <t>Table 1 - Annual Respondent Burden and Cost of Recordkeeping and Reporting Requirements for the HON RTR  - Year 1</t>
  </si>
  <si>
    <t>(e) We estimate 2 respondents operate carbon adsorbers.</t>
  </si>
  <si>
    <t>(f) We estimate 21 respondents operate facilities that produce chlorinated compounds.</t>
  </si>
  <si>
    <t>(g) We estimate 126 respondents will be required to conduct fenceline monitoring. All 126 facilities would begin complying with requirements in year 2 and submit corrective action plans in year 3.</t>
  </si>
  <si>
    <t>(h) Only applicable to facilities with ethylene oxide emissions. We assume these facilities will begin complying in year 2. Note, there are not startup/capital &amp; O&amp;M costs for wastewater, and no additional recordkeeping &amp; reporting costs for HEX systems in ethylene oxide service. These are assumed to be included with all HEX systems.</t>
  </si>
  <si>
    <t>(i) Retests only occur after five years from the intial performance test, and thus would not occur over the period covered by this ICR.</t>
  </si>
  <si>
    <t>(j) Assumed that bypass lines were not used during the 3-year period, so costs for bypass lines would not be incurred.</t>
  </si>
  <si>
    <t>(k) Assumed recordkeeping hours are comparable to previously required water methods, and assigned 0 additional hours to implement the El Paso Method.</t>
  </si>
  <si>
    <t>Total Annual Responses (Over 3-Yr Period)</t>
  </si>
  <si>
    <t>E=(BxC)+D</t>
  </si>
  <si>
    <t>Notification of Compliance Status </t>
  </si>
  <si>
    <t>Process Vents</t>
  </si>
  <si>
    <t>Storage Vessels</t>
  </si>
  <si>
    <t>Carbon Adsorbers</t>
  </si>
  <si>
    <t>Ethylene Oxide Wastewater Group 1</t>
  </si>
  <si>
    <t>Storage Vessel Routine Maintenance</t>
  </si>
  <si>
    <t>Pressure Vessels</t>
  </si>
  <si>
    <t>Site-specific monitoring plan</t>
  </si>
  <si>
    <t>Corrective action plan</t>
  </si>
  <si>
    <t>Quarterly reports</t>
  </si>
  <si>
    <r>
      <t xml:space="preserve">Read and Understand Rule Requirements </t>
    </r>
    <r>
      <rPr>
        <vertAlign val="superscript"/>
        <sz val="9"/>
        <rFont val="Arial"/>
        <family val="2"/>
      </rPr>
      <t>a</t>
    </r>
  </si>
  <si>
    <r>
      <t xml:space="preserve">Total Cost Per Year </t>
    </r>
    <r>
      <rPr>
        <vertAlign val="superscript"/>
        <sz val="9"/>
        <color theme="1"/>
        <rFont val="Arial"/>
        <family val="2"/>
      </rPr>
      <t>b</t>
    </r>
  </si>
  <si>
    <t>(a) Number of occurrences is the number of states and EPA Regions with affected sources (35 states + 10 EPA regions = 45 respondents).</t>
  </si>
  <si>
    <t>(b) These rates are from the Office of Personnel Management (OPM), 2021 General Schedule, which excludes locality rates of pay. The rates have been increased by 60 percent to account for the benefit packages available to government employees. </t>
  </si>
  <si>
    <t>Table 5 - Annual Agency Burden and Cost of Recordkeeping and Reporting Requirements for the HON RTR - Year 1</t>
  </si>
  <si>
    <t>Table 2 - Annual Respondent Burden and Cost of Recordkeeping and Reporting Requirements for the HON RTR  - Year 2</t>
  </si>
  <si>
    <t>Table 3 - Annual Respondent Burden and Cost of Recordkeeping and Reporting Requirements for the HON RTR  - Year 3</t>
  </si>
  <si>
    <t>Table 4 - Summary of Annual Respondent Burden and Cost of Recordkeeping and Reporting Requirements for the HON RTR</t>
  </si>
  <si>
    <t>Table 6 - Annual Agency Burden and Cost of Recordkeeping and Reporting Requirements for the HON RTR - Year 2</t>
  </si>
  <si>
    <t>Table 7 - Annual Agency Burden and Cost of Recordkeeping and Reporting Requirements for the HON RTR - Year 3</t>
  </si>
  <si>
    <r>
      <t>Total Cost Per Year</t>
    </r>
    <r>
      <rPr>
        <vertAlign val="superscript"/>
        <sz val="9"/>
        <color theme="1"/>
        <rFont val="Arial"/>
        <family val="2"/>
      </rPr>
      <t xml:space="preserve"> b</t>
    </r>
  </si>
  <si>
    <t>Table 8 - Summary of Annual Agency Burden and Cost of Recordkeeping and Reporting Requirements for the HON RTR</t>
  </si>
  <si>
    <t>(a) Within a given year, there are a maximum of 209 respondents per information collection activity.</t>
  </si>
  <si>
    <r>
      <t xml:space="preserve">Carbon Adsorber Monitors &amp; Performance Test </t>
    </r>
    <r>
      <rPr>
        <vertAlign val="superscript"/>
        <sz val="10"/>
        <rFont val="Times New Roman"/>
        <family val="1"/>
      </rPr>
      <t>b</t>
    </r>
  </si>
  <si>
    <r>
      <t xml:space="preserve">Dioxin/Furan Monitors &amp; Performance Test </t>
    </r>
    <r>
      <rPr>
        <vertAlign val="superscript"/>
        <sz val="10"/>
        <rFont val="Times New Roman"/>
        <family val="1"/>
      </rPr>
      <t>c</t>
    </r>
  </si>
  <si>
    <r>
      <t xml:space="preserve">Fenceline Monitoring </t>
    </r>
    <r>
      <rPr>
        <vertAlign val="superscript"/>
        <sz val="10"/>
        <rFont val="Times New Roman"/>
        <family val="1"/>
      </rPr>
      <t>d</t>
    </r>
  </si>
  <si>
    <r>
      <t xml:space="preserve">Ethylene Oxide Heat Exchangers - El Paso Method Monitors and Repair </t>
    </r>
    <r>
      <rPr>
        <vertAlign val="superscript"/>
        <sz val="10"/>
        <rFont val="Times New Roman"/>
        <family val="1"/>
      </rPr>
      <t>e</t>
    </r>
  </si>
  <si>
    <r>
      <t xml:space="preserve">Ethylene Oxide Process Vents &amp; Storage Tanks - Control Device </t>
    </r>
    <r>
      <rPr>
        <vertAlign val="superscript"/>
        <sz val="10"/>
        <rFont val="Times New Roman"/>
        <family val="1"/>
      </rPr>
      <t>e</t>
    </r>
  </si>
  <si>
    <r>
      <t xml:space="preserve">Ethylene Oxide Process Vents &amp; Storage Tanks - Control Device Monitor </t>
    </r>
    <r>
      <rPr>
        <vertAlign val="superscript"/>
        <sz val="10"/>
        <rFont val="Times New Roman"/>
        <family val="1"/>
      </rPr>
      <t>e</t>
    </r>
  </si>
  <si>
    <r>
      <t xml:space="preserve">Ethylene Oxide Process Vents &amp; Storage Tanks - Control Device Testing </t>
    </r>
    <r>
      <rPr>
        <vertAlign val="superscript"/>
        <sz val="10"/>
        <rFont val="Times New Roman"/>
        <family val="1"/>
      </rPr>
      <t>e</t>
    </r>
  </si>
  <si>
    <t>(b) We estimate 2 respondents operate carbon adsorbers.</t>
  </si>
  <si>
    <t>(c) We estimate 21 respondents operate facilities that produce chlorinated compounds.</t>
  </si>
  <si>
    <t>(d) We estimate 126 respondents will be required to conduct fenceline monitoring.</t>
  </si>
  <si>
    <t>(e) We estimate there are a maximum of 17 respondents that operate equipment in ethylene oxide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</si>
</sst>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
    <numFmt numFmtId="167" formatCode="General_)"/>
    <numFmt numFmtId="168" formatCode="0_)"/>
  </numFmts>
  <fonts count="43" x14ac:knownFonts="1">
    <font>
      <sz val="11"/>
      <color theme="1"/>
      <name val="Calibri"/>
      <family val="2"/>
      <scheme val="minor"/>
    </font>
    <font>
      <sz val="10"/>
      <name val="Arial"/>
      <family val="2"/>
    </font>
    <font>
      <sz val="9"/>
      <color indexed="8"/>
      <name val="Arial"/>
      <family val="2"/>
    </font>
    <font>
      <sz val="11"/>
      <color theme="1"/>
      <name val="Calibri"/>
      <family val="2"/>
      <scheme val="minor"/>
    </font>
    <font>
      <b/>
      <sz val="12"/>
      <name val="Arial"/>
      <family val="2"/>
    </font>
    <font>
      <sz val="9"/>
      <name val="Arial"/>
      <family val="2"/>
    </font>
    <font>
      <sz val="8"/>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sz val="9"/>
      <color indexed="12"/>
      <name val="Arial"/>
      <family val="2"/>
    </font>
    <font>
      <b/>
      <sz val="1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b/>
      <sz val="11"/>
      <color theme="1"/>
      <name val="Calibri"/>
      <family val="2"/>
      <scheme val="minor"/>
    </font>
    <font>
      <sz val="8"/>
      <color rgb="FFC00000"/>
      <name val="Arial"/>
      <family val="2"/>
    </font>
    <font>
      <b/>
      <sz val="11"/>
      <name val="Calibri"/>
      <family val="2"/>
      <scheme val="minor"/>
    </font>
    <font>
      <sz val="9"/>
      <color theme="1"/>
      <name val="Arial"/>
      <family val="2"/>
    </font>
    <font>
      <i/>
      <sz val="10"/>
      <color theme="1"/>
      <name val="Calibri"/>
      <family val="2"/>
      <scheme val="minor"/>
    </font>
    <font>
      <sz val="10"/>
      <color theme="1"/>
      <name val="Times New Roman"/>
      <family val="1"/>
    </font>
    <font>
      <b/>
      <sz val="12"/>
      <color rgb="FF000000"/>
      <name val="Times New Roman"/>
      <family val="1"/>
    </font>
    <font>
      <sz val="10"/>
      <color rgb="FF000000"/>
      <name val="Times New Roman"/>
      <family val="1"/>
    </font>
    <font>
      <sz val="10"/>
      <name val="Times New Roman"/>
      <family val="1"/>
    </font>
    <font>
      <sz val="9"/>
      <color rgb="FF000000"/>
      <name val="Times New Roman"/>
      <family val="1"/>
    </font>
    <font>
      <b/>
      <sz val="11"/>
      <color rgb="FF000000"/>
      <name val="Times New Roman"/>
      <family val="1"/>
    </font>
    <font>
      <vertAlign val="superscript"/>
      <sz val="10"/>
      <color rgb="FF000000"/>
      <name val="Times New Roman"/>
      <family val="1"/>
    </font>
    <font>
      <b/>
      <sz val="10"/>
      <name val="Times New Roman"/>
      <family val="1"/>
    </font>
    <font>
      <b/>
      <sz val="10"/>
      <color rgb="FF000000"/>
      <name val="Times New Roman"/>
      <family val="1"/>
    </font>
    <font>
      <b/>
      <sz val="10"/>
      <color theme="1"/>
      <name val="Times New Roman"/>
      <family val="1"/>
    </font>
    <font>
      <b/>
      <sz val="9"/>
      <color rgb="FF000000"/>
      <name val="Times New Roman"/>
      <family val="1"/>
    </font>
    <font>
      <sz val="9"/>
      <color indexed="81"/>
      <name val="Tahoma"/>
      <charset val="1"/>
    </font>
    <font>
      <b/>
      <sz val="9"/>
      <color indexed="81"/>
      <name val="Tahoma"/>
      <charset val="1"/>
    </font>
    <font>
      <sz val="8"/>
      <name val="Calibri"/>
      <family val="2"/>
      <scheme val="minor"/>
    </font>
    <font>
      <vertAlign val="superscript"/>
      <sz val="8"/>
      <name val="Arial"/>
      <family val="2"/>
    </font>
    <font>
      <vertAlign val="superscript"/>
      <sz val="9"/>
      <name val="Arial"/>
      <family val="2"/>
    </font>
    <font>
      <vertAlign val="superscript"/>
      <sz val="9"/>
      <color theme="1"/>
      <name val="Arial"/>
      <family val="2"/>
    </font>
    <font>
      <vertAlign val="superscript"/>
      <sz val="1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8"/>
      </left>
      <right style="thin">
        <color indexed="8"/>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8"/>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thin">
        <color indexed="64"/>
      </bottom>
      <diagonal/>
    </border>
  </borders>
  <cellStyleXfs count="8">
    <xf numFmtId="0" fontId="0" fillId="0" borderId="0"/>
    <xf numFmtId="0" fontId="1" fillId="0" borderId="0"/>
    <xf numFmtId="43" fontId="3" fillId="0" borderId="0" applyFont="0" applyFill="0" applyBorder="0" applyAlignment="0" applyProtection="0"/>
    <xf numFmtId="0" fontId="1" fillId="0" borderId="0"/>
    <xf numFmtId="0" fontId="7" fillId="0" borderId="0" applyNumberFormat="0" applyFill="0" applyBorder="0" applyAlignment="0" applyProtection="0">
      <alignment vertical="top"/>
      <protection locked="0"/>
    </xf>
    <xf numFmtId="0" fontId="8" fillId="0" borderId="0"/>
    <xf numFmtId="0" fontId="1" fillId="0" borderId="0"/>
    <xf numFmtId="44" fontId="1" fillId="0" borderId="0" applyFont="0" applyFill="0" applyBorder="0" applyAlignment="0" applyProtection="0"/>
  </cellStyleXfs>
  <cellXfs count="313">
    <xf numFmtId="0" fontId="0" fillId="0" borderId="0" xfId="0"/>
    <xf numFmtId="0" fontId="0" fillId="3" borderId="0" xfId="0" applyFill="1"/>
    <xf numFmtId="3" fontId="1" fillId="3" borderId="11" xfId="0" applyNumberFormat="1" applyFont="1" applyFill="1" applyBorder="1" applyAlignment="1">
      <alignment horizontal="center"/>
    </xf>
    <xf numFmtId="164" fontId="1" fillId="3" borderId="11"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5" xfId="0" applyNumberFormat="1" applyFont="1" applyFill="1" applyBorder="1" applyAlignment="1">
      <alignment horizontal="center"/>
    </xf>
    <xf numFmtId="164" fontId="1" fillId="3" borderId="15" xfId="0" applyNumberFormat="1" applyFont="1" applyFill="1" applyBorder="1" applyAlignment="1">
      <alignment horizontal="center"/>
    </xf>
    <xf numFmtId="167" fontId="6" fillId="3" borderId="0" xfId="0" applyNumberFormat="1" applyFont="1" applyFill="1"/>
    <xf numFmtId="167" fontId="6" fillId="3" borderId="0" xfId="0" applyNumberFormat="1" applyFont="1" applyFill="1" applyAlignment="1">
      <alignment horizontal="center" vertical="center"/>
    </xf>
    <xf numFmtId="3" fontId="6" fillId="3" borderId="0" xfId="0" applyNumberFormat="1" applyFont="1" applyFill="1" applyAlignment="1">
      <alignment horizontal="center" vertical="center"/>
    </xf>
    <xf numFmtId="167" fontId="6" fillId="3" borderId="0" xfId="0" applyNumberFormat="1" applyFont="1" applyFill="1" applyAlignment="1">
      <alignment horizontal="left" vertical="center"/>
    </xf>
    <xf numFmtId="164" fontId="6" fillId="3" borderId="0" xfId="0" applyNumberFormat="1" applyFont="1" applyFill="1" applyAlignment="1">
      <alignment horizontal="center" vertical="center"/>
    </xf>
    <xf numFmtId="0" fontId="1" fillId="3" borderId="0" xfId="3" applyFill="1"/>
    <xf numFmtId="167" fontId="6" fillId="3" borderId="0" xfId="0" applyNumberFormat="1" applyFont="1" applyFill="1" applyAlignment="1">
      <alignment horizontal="center"/>
    </xf>
    <xf numFmtId="3" fontId="6" fillId="3" borderId="0" xfId="2" applyNumberFormat="1" applyFont="1" applyFill="1" applyBorder="1" applyAlignment="1">
      <alignment horizontal="right"/>
    </xf>
    <xf numFmtId="0" fontId="6" fillId="3" borderId="0" xfId="0" applyFont="1" applyFill="1"/>
    <xf numFmtId="167" fontId="6" fillId="3" borderId="0" xfId="0" applyNumberFormat="1" applyFont="1" applyFill="1" applyAlignment="1">
      <alignment horizontal="right"/>
    </xf>
    <xf numFmtId="0" fontId="9" fillId="0" borderId="0" xfId="0" applyFont="1"/>
    <xf numFmtId="0" fontId="6" fillId="3" borderId="0" xfId="0" applyFont="1" applyFill="1" applyAlignment="1">
      <alignment wrapText="1"/>
    </xf>
    <xf numFmtId="0" fontId="6" fillId="0" borderId="1" xfId="0" applyFont="1" applyBorder="1" applyAlignment="1">
      <alignment horizontal="center"/>
    </xf>
    <xf numFmtId="1" fontId="6" fillId="0" borderId="1" xfId="0" applyNumberFormat="1" applyFont="1" applyBorder="1" applyAlignment="1">
      <alignment horizontal="center"/>
    </xf>
    <xf numFmtId="164" fontId="6" fillId="3" borderId="0" xfId="0" applyNumberFormat="1" applyFont="1" applyFill="1"/>
    <xf numFmtId="167" fontId="10" fillId="3" borderId="0" xfId="0" applyNumberFormat="1" applyFont="1" applyFill="1"/>
    <xf numFmtId="0" fontId="13" fillId="3" borderId="0" xfId="0" applyFont="1" applyFill="1"/>
    <xf numFmtId="0" fontId="13" fillId="4" borderId="0" xfId="0" applyFont="1" applyFill="1"/>
    <xf numFmtId="9" fontId="13" fillId="3" borderId="1" xfId="0" applyNumberFormat="1" applyFont="1" applyFill="1" applyBorder="1"/>
    <xf numFmtId="167" fontId="5" fillId="3" borderId="18" xfId="0" applyNumberFormat="1" applyFont="1" applyFill="1" applyBorder="1" applyAlignment="1">
      <alignment horizontal="left" vertical="center"/>
    </xf>
    <xf numFmtId="167" fontId="5" fillId="3" borderId="18" xfId="0" applyNumberFormat="1" applyFont="1" applyFill="1" applyBorder="1"/>
    <xf numFmtId="167" fontId="5" fillId="3" borderId="26" xfId="0" applyNumberFormat="1" applyFont="1" applyFill="1" applyBorder="1" applyAlignment="1">
      <alignment horizontal="left" vertical="center"/>
    </xf>
    <xf numFmtId="167" fontId="5" fillId="3" borderId="0" xfId="0" applyNumberFormat="1" applyFont="1" applyFill="1" applyAlignment="1">
      <alignment horizontal="right" vertical="center"/>
    </xf>
    <xf numFmtId="9" fontId="2" fillId="3" borderId="22" xfId="0" applyNumberFormat="1" applyFont="1" applyFill="1" applyBorder="1" applyAlignment="1" applyProtection="1">
      <alignment horizontal="right" vertical="center"/>
      <protection locked="0"/>
    </xf>
    <xf numFmtId="167" fontId="5" fillId="3" borderId="22" xfId="0" applyNumberFormat="1" applyFont="1" applyFill="1" applyBorder="1" applyAlignment="1">
      <alignment horizontal="left" vertical="center"/>
    </xf>
    <xf numFmtId="9" fontId="5" fillId="3" borderId="18" xfId="0" applyNumberFormat="1" applyFont="1" applyFill="1" applyBorder="1" applyAlignment="1">
      <alignment horizontal="right" vertical="center"/>
    </xf>
    <xf numFmtId="9" fontId="5" fillId="3" borderId="27" xfId="0" applyNumberFormat="1" applyFont="1" applyFill="1" applyBorder="1" applyAlignment="1">
      <alignment horizontal="right" vertical="center"/>
    </xf>
    <xf numFmtId="167" fontId="5" fillId="3" borderId="27" xfId="0" applyNumberFormat="1" applyFont="1" applyFill="1" applyBorder="1" applyAlignment="1">
      <alignment horizontal="left" vertical="center"/>
    </xf>
    <xf numFmtId="9" fontId="5" fillId="3" borderId="26" xfId="0" applyNumberFormat="1" applyFont="1" applyFill="1" applyBorder="1" applyAlignment="1">
      <alignment horizontal="right" vertical="center"/>
    </xf>
    <xf numFmtId="0" fontId="5" fillId="3" borderId="33" xfId="3" applyFont="1" applyFill="1" applyBorder="1"/>
    <xf numFmtId="5" fontId="5" fillId="3" borderId="15" xfId="0" applyNumberFormat="1" applyFont="1" applyFill="1" applyBorder="1" applyAlignment="1">
      <alignment horizontal="center" vertical="center"/>
    </xf>
    <xf numFmtId="167" fontId="5" fillId="3" borderId="0" xfId="0" applyNumberFormat="1" applyFont="1" applyFill="1"/>
    <xf numFmtId="167" fontId="5" fillId="3" borderId="0" xfId="0" applyNumberFormat="1" applyFont="1" applyFill="1" applyAlignment="1">
      <alignment horizontal="right"/>
    </xf>
    <xf numFmtId="9" fontId="5" fillId="3" borderId="33" xfId="0" applyNumberFormat="1" applyFont="1" applyFill="1" applyBorder="1" applyAlignment="1">
      <alignment horizontal="left" vertical="center"/>
    </xf>
    <xf numFmtId="167" fontId="5" fillId="3" borderId="33" xfId="0" applyNumberFormat="1" applyFont="1" applyFill="1" applyBorder="1" applyAlignment="1">
      <alignment vertical="center"/>
    </xf>
    <xf numFmtId="168" fontId="14" fillId="3" borderId="33" xfId="0" applyNumberFormat="1" applyFont="1" applyFill="1" applyBorder="1" applyAlignment="1" applyProtection="1">
      <alignment horizontal="center" vertical="center"/>
      <protection locked="0"/>
    </xf>
    <xf numFmtId="5" fontId="5" fillId="3" borderId="43" xfId="0" applyNumberFormat="1" applyFont="1" applyFill="1" applyBorder="1" applyAlignment="1">
      <alignment horizontal="center" vertical="center"/>
    </xf>
    <xf numFmtId="1" fontId="5" fillId="3" borderId="33" xfId="0" applyNumberFormat="1" applyFont="1" applyFill="1" applyBorder="1" applyAlignment="1">
      <alignment horizontal="left" vertical="center"/>
    </xf>
    <xf numFmtId="167" fontId="5" fillId="3" borderId="17" xfId="0" applyNumberFormat="1" applyFont="1" applyFill="1" applyBorder="1" applyAlignment="1">
      <alignment horizontal="right" vertical="center"/>
    </xf>
    <xf numFmtId="167" fontId="5" fillId="3" borderId="17" xfId="0" applyNumberFormat="1" applyFont="1" applyFill="1" applyBorder="1" applyAlignment="1">
      <alignment horizontal="left" vertical="center"/>
    </xf>
    <xf numFmtId="9" fontId="5" fillId="3" borderId="17" xfId="0" applyNumberFormat="1" applyFont="1" applyFill="1" applyBorder="1" applyAlignment="1">
      <alignment horizontal="right" vertical="center"/>
    </xf>
    <xf numFmtId="167" fontId="5" fillId="3" borderId="17" xfId="0" applyNumberFormat="1" applyFont="1" applyFill="1" applyBorder="1" applyAlignment="1">
      <alignment horizontal="left" vertical="center" wrapText="1"/>
    </xf>
    <xf numFmtId="164" fontId="9" fillId="0" borderId="0" xfId="0" applyNumberFormat="1" applyFont="1" applyAlignment="1">
      <alignment horizontal="center"/>
    </xf>
    <xf numFmtId="164" fontId="16" fillId="0" borderId="0" xfId="0" applyNumberFormat="1" applyFont="1" applyAlignment="1">
      <alignment horizontal="center"/>
    </xf>
    <xf numFmtId="0" fontId="18" fillId="0" borderId="13" xfId="6" applyFont="1" applyBorder="1"/>
    <xf numFmtId="0" fontId="17" fillId="2" borderId="9" xfId="6" applyFont="1" applyFill="1" applyBorder="1" applyAlignment="1">
      <alignment horizontal="center"/>
    </xf>
    <xf numFmtId="17" fontId="17" fillId="2" borderId="1" xfId="6" applyNumberFormat="1" applyFont="1" applyFill="1" applyBorder="1" applyAlignment="1">
      <alignment horizontal="center"/>
    </xf>
    <xf numFmtId="0" fontId="18" fillId="0" borderId="1" xfId="6" applyFont="1" applyBorder="1"/>
    <xf numFmtId="17" fontId="18" fillId="0" borderId="0" xfId="6" quotePrefix="1" applyNumberFormat="1" applyFont="1"/>
    <xf numFmtId="0" fontId="18" fillId="0" borderId="0" xfId="6" applyFont="1"/>
    <xf numFmtId="0" fontId="18" fillId="0" borderId="1" xfId="5" applyFont="1" applyBorder="1"/>
    <xf numFmtId="0" fontId="18" fillId="0" borderId="1" xfId="1" applyFont="1" applyBorder="1"/>
    <xf numFmtId="0" fontId="18" fillId="0" borderId="0" xfId="5" applyFont="1"/>
    <xf numFmtId="0" fontId="18" fillId="0" borderId="0" xfId="1" applyFont="1"/>
    <xf numFmtId="0" fontId="9" fillId="0" borderId="9" xfId="0" applyFont="1" applyBorder="1"/>
    <xf numFmtId="0" fontId="9" fillId="0" borderId="12" xfId="0" applyFont="1" applyBorder="1"/>
    <xf numFmtId="0" fontId="9" fillId="0" borderId="32" xfId="0" applyFont="1" applyBorder="1"/>
    <xf numFmtId="0" fontId="9" fillId="0" borderId="37" xfId="0" applyFont="1" applyBorder="1"/>
    <xf numFmtId="0" fontId="18" fillId="0" borderId="1" xfId="0" applyFont="1" applyBorder="1"/>
    <xf numFmtId="2" fontId="18" fillId="2" borderId="2" xfId="0" applyNumberFormat="1" applyFont="1" applyFill="1" applyBorder="1"/>
    <xf numFmtId="0" fontId="9" fillId="0" borderId="13" xfId="0" applyFont="1" applyBorder="1"/>
    <xf numFmtId="0" fontId="18" fillId="0" borderId="0" xfId="0" applyFont="1"/>
    <xf numFmtId="0" fontId="18" fillId="0" borderId="30" xfId="0" applyFont="1" applyBorder="1"/>
    <xf numFmtId="0" fontId="9" fillId="0" borderId="30" xfId="0" applyFont="1" applyBorder="1"/>
    <xf numFmtId="0" fontId="9" fillId="0" borderId="36" xfId="0" applyFont="1" applyBorder="1"/>
    <xf numFmtId="0" fontId="19" fillId="0" borderId="0" xfId="4" applyFont="1" applyFill="1" applyBorder="1" applyAlignment="1" applyProtection="1"/>
    <xf numFmtId="0" fontId="18" fillId="0" borderId="9" xfId="5" applyFont="1" applyBorder="1"/>
    <xf numFmtId="0" fontId="18" fillId="0" borderId="9" xfId="1" applyFont="1" applyBorder="1"/>
    <xf numFmtId="0" fontId="18" fillId="0" borderId="37" xfId="1" applyFont="1" applyBorder="1"/>
    <xf numFmtId="0" fontId="18" fillId="0" borderId="13" xfId="5" applyFont="1" applyBorder="1"/>
    <xf numFmtId="0" fontId="18" fillId="0" borderId="37" xfId="5" applyFont="1" applyBorder="1"/>
    <xf numFmtId="0" fontId="18" fillId="0" borderId="35" xfId="5" applyFont="1" applyBorder="1"/>
    <xf numFmtId="0" fontId="18" fillId="0" borderId="30" xfId="5" applyFont="1" applyBorder="1"/>
    <xf numFmtId="0" fontId="18" fillId="0" borderId="36" xfId="5" applyFont="1" applyBorder="1"/>
    <xf numFmtId="0" fontId="17" fillId="0" borderId="1" xfId="1" applyFont="1" applyBorder="1" applyAlignment="1">
      <alignment wrapText="1"/>
    </xf>
    <xf numFmtId="0" fontId="18" fillId="0" borderId="12" xfId="5" applyFont="1" applyBorder="1"/>
    <xf numFmtId="0" fontId="18" fillId="0" borderId="32" xfId="5" applyFont="1" applyBorder="1"/>
    <xf numFmtId="0" fontId="18" fillId="0" borderId="9" xfId="1" applyFont="1" applyBorder="1" applyAlignment="1">
      <alignment wrapText="1"/>
    </xf>
    <xf numFmtId="0" fontId="17" fillId="0" borderId="2" xfId="1" applyFont="1" applyBorder="1" applyAlignment="1">
      <alignment wrapText="1"/>
    </xf>
    <xf numFmtId="165" fontId="18" fillId="2" borderId="2" xfId="5" applyNumberFormat="1" applyFont="1" applyFill="1" applyBorder="1"/>
    <xf numFmtId="3" fontId="1" fillId="0" borderId="11" xfId="0" applyNumberFormat="1" applyFont="1" applyBorder="1" applyAlignment="1">
      <alignment horizontal="center"/>
    </xf>
    <xf numFmtId="3" fontId="1" fillId="0" borderId="15" xfId="0" applyNumberFormat="1" applyFont="1" applyBorder="1" applyAlignment="1">
      <alignment horizontal="center"/>
    </xf>
    <xf numFmtId="0" fontId="13" fillId="0" borderId="0" xfId="0" applyFont="1"/>
    <xf numFmtId="0" fontId="16" fillId="6" borderId="1" xfId="0" applyFont="1" applyFill="1" applyBorder="1" applyAlignment="1">
      <alignment horizontal="center" vertical="center" wrapText="1"/>
    </xf>
    <xf numFmtId="0" fontId="21" fillId="3" borderId="0" xfId="0" applyFont="1" applyFill="1"/>
    <xf numFmtId="0" fontId="17" fillId="5" borderId="2" xfId="6" applyFont="1" applyFill="1" applyBorder="1" applyAlignment="1">
      <alignment horizontal="center"/>
    </xf>
    <xf numFmtId="0" fontId="17" fillId="2" borderId="9" xfId="6" applyFont="1" applyFill="1" applyBorder="1" applyAlignment="1">
      <alignment horizontal="center" vertical="center"/>
    </xf>
    <xf numFmtId="0" fontId="18" fillId="0" borderId="9" xfId="6" applyFont="1" applyBorder="1" applyAlignment="1">
      <alignment horizontal="left"/>
    </xf>
    <xf numFmtId="0" fontId="20" fillId="0" borderId="5" xfId="0" applyFont="1" applyBorder="1"/>
    <xf numFmtId="0" fontId="16" fillId="6" borderId="9"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9" fillId="0" borderId="6" xfId="0" applyFont="1" applyBorder="1"/>
    <xf numFmtId="0" fontId="22" fillId="0" borderId="5" xfId="6" applyFont="1" applyBorder="1"/>
    <xf numFmtId="0" fontId="22" fillId="0" borderId="5" xfId="1" applyFont="1" applyBorder="1"/>
    <xf numFmtId="164" fontId="6" fillId="0" borderId="1" xfId="0" applyNumberFormat="1" applyFont="1" applyBorder="1" applyAlignment="1">
      <alignment horizontal="center"/>
    </xf>
    <xf numFmtId="49" fontId="5" fillId="3" borderId="17" xfId="3" applyNumberFormat="1" applyFont="1" applyFill="1" applyBorder="1" applyAlignment="1">
      <alignment horizontal="right" vertical="center"/>
    </xf>
    <xf numFmtId="3" fontId="1" fillId="0" borderId="1" xfId="0" applyNumberFormat="1" applyFont="1" applyBorder="1" applyAlignment="1">
      <alignment horizontal="center"/>
    </xf>
    <xf numFmtId="167" fontId="23" fillId="3" borderId="34" xfId="0" applyNumberFormat="1" applyFont="1" applyFill="1" applyBorder="1" applyAlignment="1">
      <alignment horizontal="center" wrapText="1"/>
    </xf>
    <xf numFmtId="167" fontId="23" fillId="3" borderId="41" xfId="0" applyNumberFormat="1" applyFont="1" applyFill="1" applyBorder="1" applyAlignment="1">
      <alignment horizontal="center" wrapText="1"/>
    </xf>
    <xf numFmtId="167" fontId="23" fillId="3" borderId="42" xfId="0" applyNumberFormat="1" applyFont="1" applyFill="1" applyBorder="1" applyAlignment="1">
      <alignment horizontal="center" wrapText="1"/>
    </xf>
    <xf numFmtId="164" fontId="6" fillId="3" borderId="1" xfId="0" applyNumberFormat="1" applyFont="1" applyFill="1" applyBorder="1" applyAlignment="1">
      <alignment horizontal="center" vertical="center"/>
    </xf>
    <xf numFmtId="168" fontId="5" fillId="3" borderId="1" xfId="0" applyNumberFormat="1" applyFont="1" applyFill="1" applyBorder="1" applyAlignment="1" applyProtection="1">
      <alignment horizontal="center" vertical="center"/>
      <protection locked="0"/>
    </xf>
    <xf numFmtId="1" fontId="5" fillId="3" borderId="20" xfId="0" applyNumberFormat="1" applyFont="1" applyFill="1" applyBorder="1" applyAlignment="1">
      <alignment horizontal="center" vertical="center"/>
    </xf>
    <xf numFmtId="5" fontId="5" fillId="3" borderId="1" xfId="0" applyNumberFormat="1" applyFont="1" applyFill="1" applyBorder="1" applyAlignment="1">
      <alignment horizontal="center" vertical="center"/>
    </xf>
    <xf numFmtId="168" fontId="5" fillId="3" borderId="14" xfId="0" applyNumberFormat="1" applyFont="1" applyFill="1" applyBorder="1" applyAlignment="1" applyProtection="1">
      <alignment horizontal="center" vertical="center"/>
      <protection locked="0"/>
    </xf>
    <xf numFmtId="167" fontId="5" fillId="3" borderId="21"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67" fontId="5" fillId="3" borderId="24" xfId="0" applyNumberFormat="1" applyFont="1" applyFill="1" applyBorder="1" applyAlignment="1">
      <alignment horizontal="center" vertical="center"/>
    </xf>
    <xf numFmtId="1" fontId="5" fillId="3" borderId="24"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37" fontId="5" fillId="3" borderId="1" xfId="0" applyNumberFormat="1" applyFont="1" applyFill="1" applyBorder="1" applyAlignment="1" applyProtection="1">
      <alignment horizontal="center" vertical="center"/>
      <protection locked="0"/>
    </xf>
    <xf numFmtId="6" fontId="18" fillId="0" borderId="1" xfId="6" applyNumberFormat="1" applyFont="1" applyBorder="1" applyAlignment="1">
      <alignment horizontal="center" vertical="center"/>
    </xf>
    <xf numFmtId="0" fontId="18" fillId="0" borderId="32" xfId="6" applyFont="1" applyBorder="1"/>
    <xf numFmtId="0" fontId="17" fillId="2" borderId="2" xfId="6" applyFont="1" applyFill="1" applyBorder="1" applyAlignment="1">
      <alignment horizontal="center" vertical="center"/>
    </xf>
    <xf numFmtId="6" fontId="18" fillId="0" borderId="2" xfId="6" applyNumberFormat="1" applyFont="1" applyBorder="1" applyAlignment="1">
      <alignment horizontal="center" vertical="center"/>
    </xf>
    <xf numFmtId="0" fontId="18" fillId="0" borderId="10" xfId="6" applyFont="1" applyBorder="1" applyAlignment="1">
      <alignment horizontal="left"/>
    </xf>
    <xf numFmtId="3" fontId="9"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9" fillId="0" borderId="9" xfId="0" applyFont="1" applyBorder="1" applyAlignment="1">
      <alignment horizontal="left" vertical="center" wrapText="1"/>
    </xf>
    <xf numFmtId="6" fontId="17" fillId="7" borderId="3" xfId="6" applyNumberFormat="1" applyFont="1" applyFill="1" applyBorder="1" applyAlignment="1">
      <alignment horizontal="center" vertical="center"/>
    </xf>
    <xf numFmtId="6" fontId="17" fillId="7" borderId="4" xfId="6" applyNumberFormat="1" applyFont="1" applyFill="1" applyBorder="1" applyAlignment="1">
      <alignment horizontal="center" vertical="center"/>
    </xf>
    <xf numFmtId="0" fontId="24" fillId="0" borderId="0" xfId="0" applyFont="1"/>
    <xf numFmtId="0" fontId="18" fillId="0" borderId="38" xfId="6" applyFont="1" applyBorder="1" applyAlignment="1">
      <alignment horizontal="left"/>
    </xf>
    <xf numFmtId="6" fontId="18" fillId="0" borderId="40" xfId="6" applyNumberFormat="1" applyFont="1" applyBorder="1" applyAlignment="1">
      <alignment horizontal="center" vertical="center"/>
    </xf>
    <xf numFmtId="3" fontId="6" fillId="3" borderId="1" xfId="0" applyNumberFormat="1" applyFont="1" applyFill="1" applyBorder="1" applyAlignment="1">
      <alignment horizontal="center" vertical="center"/>
    </xf>
    <xf numFmtId="167" fontId="6" fillId="3" borderId="44" xfId="0" applyNumberFormat="1" applyFont="1" applyFill="1" applyBorder="1" applyAlignment="1">
      <alignment horizontal="left" vertical="center"/>
    </xf>
    <xf numFmtId="167" fontId="6" fillId="3" borderId="26"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164" fontId="6" fillId="3" borderId="26" xfId="0" applyNumberFormat="1" applyFont="1" applyFill="1" applyBorder="1" applyAlignment="1">
      <alignment horizontal="center" vertical="center"/>
    </xf>
    <xf numFmtId="0" fontId="6" fillId="3" borderId="31" xfId="0" applyFont="1" applyFill="1" applyBorder="1"/>
    <xf numFmtId="3" fontId="6" fillId="3" borderId="31" xfId="0" applyNumberFormat="1" applyFont="1" applyFill="1" applyBorder="1" applyAlignment="1">
      <alignment horizontal="center" vertical="center"/>
    </xf>
    <xf numFmtId="0" fontId="6" fillId="3" borderId="0" xfId="0" applyFont="1" applyFill="1" applyAlignment="1">
      <alignment vertical="center"/>
    </xf>
    <xf numFmtId="0" fontId="21" fillId="3" borderId="0" xfId="0" applyFont="1" applyFill="1" applyAlignment="1">
      <alignment vertical="center"/>
    </xf>
    <xf numFmtId="0" fontId="6" fillId="0" borderId="1" xfId="0" applyFont="1" applyBorder="1" applyAlignment="1">
      <alignment horizontal="center" wrapText="1"/>
    </xf>
    <xf numFmtId="3" fontId="6" fillId="0" borderId="1" xfId="0" applyNumberFormat="1" applyFont="1" applyBorder="1" applyAlignment="1">
      <alignment horizontal="center"/>
    </xf>
    <xf numFmtId="5" fontId="6" fillId="3" borderId="1" xfId="0" applyNumberFormat="1" applyFont="1" applyFill="1" applyBorder="1" applyAlignment="1">
      <alignment horizontal="center" vertical="center"/>
    </xf>
    <xf numFmtId="3" fontId="6" fillId="0" borderId="20" xfId="0" applyNumberFormat="1" applyFont="1" applyBorder="1" applyAlignment="1">
      <alignment horizontal="center" vertical="center"/>
    </xf>
    <xf numFmtId="3" fontId="1" fillId="0" borderId="11" xfId="0" quotePrefix="1" applyNumberFormat="1" applyFont="1" applyBorder="1" applyAlignment="1">
      <alignment horizontal="center"/>
    </xf>
    <xf numFmtId="37" fontId="5" fillId="0" borderId="19" xfId="0" applyNumberFormat="1" applyFont="1" applyBorder="1" applyAlignment="1" applyProtection="1">
      <alignment horizontal="center" vertical="center"/>
      <protection locked="0"/>
    </xf>
    <xf numFmtId="168" fontId="5" fillId="0" borderId="23" xfId="0" applyNumberFormat="1" applyFont="1" applyBorder="1" applyAlignment="1" applyProtection="1">
      <alignment horizontal="center" vertical="center"/>
      <protection locked="0"/>
    </xf>
    <xf numFmtId="6" fontId="27" fillId="0" borderId="1" xfId="0" applyNumberFormat="1" applyFont="1" applyBorder="1" applyAlignment="1">
      <alignment horizontal="center" vertical="center" wrapText="1"/>
    </xf>
    <xf numFmtId="0" fontId="25" fillId="0" borderId="0" xfId="0" applyFont="1"/>
    <xf numFmtId="0" fontId="28" fillId="0" borderId="1" xfId="0" applyFont="1" applyBorder="1" applyAlignment="1">
      <alignment horizontal="left"/>
    </xf>
    <xf numFmtId="1" fontId="27" fillId="0" borderId="1" xfId="0" applyNumberFormat="1" applyFont="1" applyBorder="1" applyAlignment="1">
      <alignment horizontal="center" vertical="center" wrapText="1"/>
    </xf>
    <xf numFmtId="0" fontId="27" fillId="0" borderId="39" xfId="0" applyFont="1" applyBorder="1" applyAlignment="1">
      <alignment horizontal="center" vertical="center" wrapText="1"/>
    </xf>
    <xf numFmtId="0" fontId="27" fillId="0" borderId="11" xfId="0" applyFont="1" applyBorder="1" applyAlignment="1">
      <alignment horizontal="center" vertical="center" wrapText="1"/>
    </xf>
    <xf numFmtId="0" fontId="9" fillId="0" borderId="1" xfId="0" applyFont="1" applyBorder="1"/>
    <xf numFmtId="0" fontId="16" fillId="2" borderId="7" xfId="0" applyFont="1" applyFill="1" applyBorder="1" applyAlignment="1">
      <alignment horizontal="center" vertical="center"/>
    </xf>
    <xf numFmtId="0" fontId="16" fillId="2" borderId="7" xfId="0" quotePrefix="1" applyFont="1" applyFill="1" applyBorder="1" applyAlignment="1">
      <alignment horizontal="center" vertical="center"/>
    </xf>
    <xf numFmtId="0" fontId="16" fillId="2" borderId="8" xfId="0" applyFont="1" applyFill="1" applyBorder="1" applyAlignment="1">
      <alignment horizontal="center" vertical="center"/>
    </xf>
    <xf numFmtId="0" fontId="9" fillId="0" borderId="2" xfId="0" applyFont="1" applyBorder="1"/>
    <xf numFmtId="1" fontId="6" fillId="0" borderId="1" xfId="0" applyNumberFormat="1" applyFont="1" applyBorder="1" applyAlignment="1">
      <alignment horizontal="center" wrapText="1"/>
    </xf>
    <xf numFmtId="3" fontId="6" fillId="0" borderId="1" xfId="0" applyNumberFormat="1" applyFont="1" applyBorder="1" applyAlignment="1">
      <alignment horizontal="center" wrapText="1"/>
    </xf>
    <xf numFmtId="0" fontId="6" fillId="0" borderId="1" xfId="0" applyFont="1" applyBorder="1"/>
    <xf numFmtId="0" fontId="6" fillId="0" borderId="1" xfId="0" applyFont="1" applyBorder="1" applyAlignment="1">
      <alignment horizontal="left" indent="2"/>
    </xf>
    <xf numFmtId="0" fontId="6" fillId="0" borderId="1" xfId="0" applyFont="1" applyBorder="1" applyAlignment="1">
      <alignment horizontal="left" wrapText="1" indent="4"/>
    </xf>
    <xf numFmtId="0" fontId="6" fillId="0" borderId="1" xfId="0" applyFont="1" applyBorder="1" applyAlignment="1">
      <alignment horizontal="left" indent="6"/>
    </xf>
    <xf numFmtId="0" fontId="6" fillId="0" borderId="1" xfId="0" applyFont="1" applyBorder="1" applyAlignment="1">
      <alignment horizontal="left" indent="4"/>
    </xf>
    <xf numFmtId="0" fontId="11" fillId="0" borderId="1" xfId="0" applyFont="1" applyBorder="1"/>
    <xf numFmtId="0" fontId="6" fillId="3" borderId="47" xfId="0" applyFont="1" applyFill="1" applyBorder="1"/>
    <xf numFmtId="0" fontId="6" fillId="3" borderId="48" xfId="0" applyFont="1" applyFill="1" applyBorder="1"/>
    <xf numFmtId="0" fontId="6" fillId="3" borderId="17" xfId="0" applyFont="1" applyFill="1" applyBorder="1"/>
    <xf numFmtId="167" fontId="6" fillId="3" borderId="26" xfId="0" applyNumberFormat="1" applyFont="1" applyFill="1" applyBorder="1" applyAlignment="1">
      <alignment horizontal="left" vertical="center"/>
    </xf>
    <xf numFmtId="164" fontId="6" fillId="3" borderId="31" xfId="0" applyNumberFormat="1" applyFont="1" applyFill="1" applyBorder="1" applyAlignment="1">
      <alignment horizontal="center" vertical="center"/>
    </xf>
    <xf numFmtId="0" fontId="12" fillId="3" borderId="11" xfId="0" applyFont="1" applyFill="1" applyBorder="1" applyAlignment="1">
      <alignment vertical="center"/>
    </xf>
    <xf numFmtId="0" fontId="6" fillId="3" borderId="11" xfId="0" applyFont="1" applyFill="1" applyBorder="1" applyAlignment="1">
      <alignment horizontal="center" vertical="center"/>
    </xf>
    <xf numFmtId="0" fontId="11" fillId="0" borderId="15" xfId="0" applyFont="1" applyBorder="1"/>
    <xf numFmtId="0" fontId="6" fillId="0" borderId="15" xfId="0" applyFont="1" applyBorder="1" applyAlignment="1">
      <alignment horizontal="center"/>
    </xf>
    <xf numFmtId="167" fontId="1" fillId="3" borderId="15" xfId="0" applyNumberFormat="1" applyFont="1" applyFill="1" applyBorder="1" applyAlignment="1">
      <alignment horizontal="center"/>
    </xf>
    <xf numFmtId="167" fontId="1" fillId="3" borderId="15" xfId="0" applyNumberFormat="1" applyFont="1" applyFill="1" applyBorder="1" applyAlignment="1">
      <alignment horizontal="center" wrapText="1"/>
    </xf>
    <xf numFmtId="167" fontId="1" fillId="3" borderId="11" xfId="0" applyNumberFormat="1" applyFont="1" applyFill="1" applyBorder="1" applyAlignment="1">
      <alignment horizontal="center"/>
    </xf>
    <xf numFmtId="167" fontId="1" fillId="3" borderId="1" xfId="0" applyNumberFormat="1" applyFont="1" applyFill="1" applyBorder="1" applyAlignment="1">
      <alignment horizontal="center"/>
    </xf>
    <xf numFmtId="164" fontId="1" fillId="0" borderId="1" xfId="0" applyNumberFormat="1" applyFont="1" applyBorder="1" applyAlignment="1">
      <alignment horizontal="center"/>
    </xf>
    <xf numFmtId="0" fontId="13" fillId="4" borderId="47" xfId="0" applyFont="1" applyFill="1" applyBorder="1"/>
    <xf numFmtId="0" fontId="13" fillId="4" borderId="21" xfId="0" applyFont="1" applyFill="1" applyBorder="1"/>
    <xf numFmtId="167" fontId="1" fillId="0" borderId="15" xfId="0" applyNumberFormat="1" applyFont="1" applyBorder="1" applyAlignment="1">
      <alignment horizontal="center" wrapText="1"/>
    </xf>
    <xf numFmtId="167" fontId="5" fillId="3" borderId="45" xfId="0" applyNumberFormat="1" applyFont="1" applyFill="1" applyBorder="1" applyAlignment="1">
      <alignment horizontal="centerContinuous"/>
    </xf>
    <xf numFmtId="167" fontId="5" fillId="3" borderId="28" xfId="0" applyNumberFormat="1" applyFont="1" applyFill="1" applyBorder="1" applyAlignment="1">
      <alignment horizontal="centerContinuous"/>
    </xf>
    <xf numFmtId="167" fontId="23" fillId="3" borderId="29" xfId="0" applyNumberFormat="1" applyFont="1" applyFill="1" applyBorder="1" applyAlignment="1">
      <alignment horizontal="center" vertical="center"/>
    </xf>
    <xf numFmtId="167" fontId="23" fillId="3" borderId="49" xfId="0" applyNumberFormat="1" applyFont="1" applyFill="1" applyBorder="1" applyAlignment="1">
      <alignment horizontal="center" vertical="center"/>
    </xf>
    <xf numFmtId="167" fontId="23" fillId="3" borderId="46" xfId="0" applyNumberFormat="1" applyFont="1" applyFill="1" applyBorder="1" applyAlignment="1">
      <alignment horizontal="center" vertical="center"/>
    </xf>
    <xf numFmtId="167" fontId="23" fillId="3" borderId="39" xfId="0" applyNumberFormat="1" applyFont="1" applyFill="1" applyBorder="1" applyAlignment="1">
      <alignment horizontal="center" vertical="center"/>
    </xf>
    <xf numFmtId="167" fontId="5" fillId="3" borderId="50" xfId="0" applyNumberFormat="1" applyFont="1" applyFill="1" applyBorder="1" applyAlignment="1">
      <alignment horizontal="center" vertical="center"/>
    </xf>
    <xf numFmtId="167" fontId="5" fillId="3" borderId="47" xfId="0" applyNumberFormat="1" applyFont="1" applyFill="1" applyBorder="1" applyAlignment="1">
      <alignment horizontal="center" vertical="center"/>
    </xf>
    <xf numFmtId="167" fontId="5" fillId="3" borderId="44" xfId="0" applyNumberFormat="1" applyFont="1" applyFill="1" applyBorder="1" applyAlignment="1">
      <alignment horizontal="center" vertical="center"/>
    </xf>
    <xf numFmtId="166" fontId="14" fillId="3" borderId="47" xfId="0" applyNumberFormat="1" applyFont="1" applyFill="1" applyBorder="1" applyAlignment="1" applyProtection="1">
      <alignment vertical="center"/>
      <protection locked="0"/>
    </xf>
    <xf numFmtId="166" fontId="14" fillId="3" borderId="51" xfId="0" applyNumberFormat="1" applyFont="1" applyFill="1" applyBorder="1" applyAlignment="1" applyProtection="1">
      <alignment vertical="center"/>
      <protection locked="0"/>
    </xf>
    <xf numFmtId="166" fontId="14" fillId="3" borderId="44" xfId="0" applyNumberFormat="1" applyFont="1" applyFill="1" applyBorder="1" applyAlignment="1" applyProtection="1">
      <alignment vertical="center"/>
      <protection locked="0"/>
    </xf>
    <xf numFmtId="166" fontId="14" fillId="3" borderId="48" xfId="0" applyNumberFormat="1" applyFont="1" applyFill="1" applyBorder="1" applyAlignment="1" applyProtection="1">
      <alignment vertical="center"/>
      <protection locked="0"/>
    </xf>
    <xf numFmtId="167" fontId="5" fillId="3" borderId="48" xfId="0" applyNumberFormat="1" applyFont="1" applyFill="1" applyBorder="1" applyAlignment="1">
      <alignment horizontal="center" vertical="center"/>
    </xf>
    <xf numFmtId="167" fontId="2" fillId="3" borderId="43" xfId="0" quotePrefix="1" applyNumberFormat="1" applyFont="1" applyFill="1" applyBorder="1" applyAlignment="1" applyProtection="1">
      <alignment horizontal="center" vertical="center"/>
      <protection locked="0"/>
    </xf>
    <xf numFmtId="9" fontId="5" fillId="3" borderId="48" xfId="0" applyNumberFormat="1" applyFont="1" applyFill="1" applyBorder="1" applyAlignment="1">
      <alignment vertical="center"/>
    </xf>
    <xf numFmtId="9" fontId="5" fillId="3" borderId="17" xfId="0" applyNumberFormat="1" applyFont="1" applyFill="1" applyBorder="1" applyAlignment="1">
      <alignment vertical="center"/>
    </xf>
    <xf numFmtId="167" fontId="5" fillId="3" borderId="17" xfId="0" applyNumberFormat="1" applyFont="1" applyFill="1" applyBorder="1" applyAlignment="1">
      <alignment vertical="center"/>
    </xf>
    <xf numFmtId="168" fontId="14" fillId="3" borderId="17" xfId="0" applyNumberFormat="1" applyFont="1" applyFill="1" applyBorder="1" applyAlignment="1" applyProtection="1">
      <alignment horizontal="center" vertical="center"/>
      <protection locked="0"/>
    </xf>
    <xf numFmtId="1" fontId="5" fillId="3" borderId="52" xfId="0" applyNumberFormat="1" applyFont="1" applyFill="1" applyBorder="1" applyAlignment="1">
      <alignment horizontal="center" vertical="center"/>
    </xf>
    <xf numFmtId="1" fontId="5" fillId="3" borderId="16" xfId="0" applyNumberFormat="1" applyFont="1" applyFill="1" applyBorder="1" applyAlignment="1">
      <alignment horizontal="center" vertical="center"/>
    </xf>
    <xf numFmtId="5" fontId="5" fillId="3" borderId="11" xfId="0" applyNumberFormat="1" applyFont="1" applyFill="1" applyBorder="1" applyAlignment="1">
      <alignment horizontal="center" vertical="center"/>
    </xf>
    <xf numFmtId="1" fontId="9" fillId="0" borderId="0" xfId="0" applyNumberFormat="1" applyFont="1"/>
    <xf numFmtId="3" fontId="11" fillId="0" borderId="1" xfId="0" applyNumberFormat="1" applyFont="1" applyBorder="1" applyAlignment="1">
      <alignment horizontal="center"/>
    </xf>
    <xf numFmtId="164" fontId="11" fillId="0" borderId="1" xfId="0" applyNumberFormat="1" applyFont="1" applyBorder="1" applyAlignment="1">
      <alignment horizontal="center"/>
    </xf>
    <xf numFmtId="3" fontId="11" fillId="0" borderId="15" xfId="0" applyNumberFormat="1" applyFont="1" applyBorder="1" applyAlignment="1">
      <alignment horizontal="center"/>
    </xf>
    <xf numFmtId="164" fontId="11" fillId="0" borderId="15" xfId="0" applyNumberFormat="1" applyFont="1" applyBorder="1" applyAlignment="1">
      <alignment horizontal="center"/>
    </xf>
    <xf numFmtId="3" fontId="12" fillId="3" borderId="11" xfId="0" applyNumberFormat="1" applyFont="1" applyFill="1" applyBorder="1" applyAlignment="1">
      <alignment horizontal="center" vertical="center"/>
    </xf>
    <xf numFmtId="164" fontId="12" fillId="3" borderId="11" xfId="0" applyNumberFormat="1" applyFont="1" applyFill="1" applyBorder="1" applyAlignment="1">
      <alignment horizontal="center" vertical="center"/>
    </xf>
    <xf numFmtId="3" fontId="21" fillId="3" borderId="0" xfId="0" applyNumberFormat="1" applyFont="1" applyFill="1"/>
    <xf numFmtId="6" fontId="9" fillId="0" borderId="0" xfId="0" applyNumberFormat="1" applyFont="1"/>
    <xf numFmtId="0" fontId="32" fillId="0" borderId="1" xfId="0" applyFont="1" applyBorder="1" applyAlignment="1">
      <alignment horizontal="left"/>
    </xf>
    <xf numFmtId="6" fontId="33" fillId="0" borderId="1" xfId="0" applyNumberFormat="1" applyFont="1" applyBorder="1" applyAlignment="1">
      <alignment horizontal="center" vertical="center" wrapText="1"/>
    </xf>
    <xf numFmtId="1"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4" fillId="0" borderId="0" xfId="0" applyFont="1"/>
    <xf numFmtId="0" fontId="6" fillId="0" borderId="1" xfId="0" applyFont="1" applyBorder="1" applyAlignment="1">
      <alignment horizontal="left" wrapText="1" indent="6"/>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28" fillId="0" borderId="1" xfId="0" applyFont="1" applyBorder="1" applyAlignment="1">
      <alignment horizontal="left" wrapText="1"/>
    </xf>
    <xf numFmtId="0" fontId="9" fillId="8" borderId="9" xfId="0" applyFont="1" applyFill="1" applyBorder="1"/>
    <xf numFmtId="0" fontId="9" fillId="8" borderId="1" xfId="0" applyFont="1" applyFill="1" applyBorder="1"/>
    <xf numFmtId="0" fontId="9" fillId="8" borderId="38" xfId="0" applyFont="1" applyFill="1" applyBorder="1"/>
    <xf numFmtId="0" fontId="9" fillId="8" borderId="39" xfId="0" applyFont="1" applyFill="1" applyBorder="1"/>
    <xf numFmtId="0" fontId="9" fillId="0" borderId="3" xfId="0" applyFont="1" applyBorder="1"/>
    <xf numFmtId="0" fontId="9" fillId="0" borderId="4" xfId="0" applyFont="1" applyBorder="1"/>
    <xf numFmtId="0" fontId="9" fillId="8" borderId="1" xfId="0" applyFont="1" applyFill="1" applyBorder="1" applyAlignment="1">
      <alignment horizontal="center" vertical="center" wrapText="1"/>
    </xf>
    <xf numFmtId="0" fontId="9" fillId="0" borderId="53" xfId="0" applyFont="1" applyBorder="1"/>
    <xf numFmtId="0" fontId="16" fillId="2" borderId="54" xfId="0" applyFont="1" applyFill="1" applyBorder="1" applyAlignment="1">
      <alignment horizontal="center" vertical="center"/>
    </xf>
    <xf numFmtId="0" fontId="16" fillId="2" borderId="54" xfId="0" quotePrefix="1" applyFont="1" applyFill="1" applyBorder="1" applyAlignment="1">
      <alignment horizontal="center" vertical="center"/>
    </xf>
    <xf numFmtId="0" fontId="16" fillId="2" borderId="55" xfId="0" applyFont="1" applyFill="1" applyBorder="1" applyAlignment="1">
      <alignment horizontal="center" vertical="center"/>
    </xf>
    <xf numFmtId="0" fontId="9" fillId="8" borderId="6" xfId="0" applyFont="1" applyFill="1" applyBorder="1"/>
    <xf numFmtId="0" fontId="9" fillId="8" borderId="7" xfId="0" applyFont="1" applyFill="1" applyBorder="1"/>
    <xf numFmtId="0" fontId="9" fillId="0" borderId="7" xfId="0" applyFont="1" applyBorder="1"/>
    <xf numFmtId="0" fontId="9" fillId="0" borderId="8" xfId="0" applyFont="1" applyBorder="1"/>
    <xf numFmtId="0" fontId="9" fillId="8" borderId="56" xfId="0" applyFont="1" applyFill="1" applyBorder="1"/>
    <xf numFmtId="0" fontId="9" fillId="8" borderId="57" xfId="0" applyFont="1" applyFill="1" applyBorder="1"/>
    <xf numFmtId="0" fontId="9" fillId="0" borderId="57" xfId="0" applyFont="1" applyBorder="1"/>
    <xf numFmtId="0" fontId="9" fillId="0" borderId="58" xfId="0" applyFont="1" applyBorder="1"/>
    <xf numFmtId="2" fontId="9" fillId="0" borderId="0" xfId="0" applyNumberFormat="1" applyFont="1"/>
    <xf numFmtId="0" fontId="17" fillId="0" borderId="38" xfId="6" applyFont="1" applyBorder="1" applyAlignment="1">
      <alignment horizontal="left"/>
    </xf>
    <xf numFmtId="6" fontId="17" fillId="0" borderId="1" xfId="6" applyNumberFormat="1" applyFont="1" applyBorder="1" applyAlignment="1">
      <alignment horizontal="center" vertical="center"/>
    </xf>
    <xf numFmtId="6" fontId="17" fillId="0" borderId="40" xfId="6" applyNumberFormat="1" applyFont="1" applyBorder="1" applyAlignment="1">
      <alignment horizontal="center" vertical="center"/>
    </xf>
    <xf numFmtId="6" fontId="17" fillId="0" borderId="4" xfId="6" applyNumberFormat="1" applyFont="1" applyBorder="1" applyAlignment="1">
      <alignment horizontal="center" vertical="center"/>
    </xf>
    <xf numFmtId="0" fontId="9" fillId="0" borderId="10" xfId="0" applyFont="1" applyBorder="1"/>
    <xf numFmtId="0" fontId="16" fillId="0" borderId="8" xfId="0" applyFont="1" applyBorder="1"/>
    <xf numFmtId="0" fontId="20" fillId="0" borderId="6" xfId="0" applyFont="1" applyBorder="1"/>
    <xf numFmtId="0" fontId="16" fillId="2" borderId="9" xfId="0" applyFont="1" applyFill="1" applyBorder="1"/>
    <xf numFmtId="0" fontId="16" fillId="2" borderId="2" xfId="0" applyFont="1" applyFill="1" applyBorder="1"/>
    <xf numFmtId="6" fontId="16" fillId="9" borderId="2" xfId="0" applyNumberFormat="1" applyFont="1" applyFill="1" applyBorder="1"/>
    <xf numFmtId="6" fontId="16" fillId="9" borderId="4" xfId="0" applyNumberFormat="1" applyFont="1" applyFill="1" applyBorder="1"/>
    <xf numFmtId="0" fontId="18" fillId="0" borderId="38" xfId="6" applyFont="1" applyBorder="1" applyAlignment="1">
      <alignment horizontal="left" wrapText="1"/>
    </xf>
    <xf numFmtId="49" fontId="18" fillId="0" borderId="1" xfId="6" applyNumberFormat="1" applyFont="1" applyBorder="1"/>
    <xf numFmtId="0" fontId="17" fillId="2" borderId="1" xfId="6" applyFont="1" applyFill="1" applyBorder="1" applyAlignment="1">
      <alignment horizontal="center" wrapText="1"/>
    </xf>
    <xf numFmtId="17" fontId="17" fillId="2" borderId="1" xfId="6" applyNumberFormat="1" applyFont="1" applyFill="1" applyBorder="1" applyAlignment="1">
      <alignment horizontal="center" wrapText="1"/>
    </xf>
    <xf numFmtId="0" fontId="7" fillId="0" borderId="35" xfId="4" applyBorder="1" applyAlignment="1" applyProtection="1"/>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0" fontId="27" fillId="0" borderId="6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62" xfId="0" applyFont="1" applyBorder="1" applyAlignment="1">
      <alignment horizontal="left" vertical="center" wrapText="1" indent="1"/>
    </xf>
    <xf numFmtId="0" fontId="29" fillId="0" borderId="36" xfId="0" applyFont="1" applyBorder="1" applyAlignment="1">
      <alignment horizontal="center" vertical="center" wrapText="1"/>
    </xf>
    <xf numFmtId="0" fontId="33" fillId="0" borderId="35" xfId="0" applyFont="1" applyBorder="1" applyAlignment="1">
      <alignment vertical="center" wrapText="1"/>
    </xf>
    <xf numFmtId="0" fontId="33" fillId="0" borderId="30" xfId="0" applyFont="1" applyBorder="1" applyAlignment="1">
      <alignment horizontal="center" vertical="center" wrapText="1"/>
    </xf>
    <xf numFmtId="0" fontId="33" fillId="0" borderId="36" xfId="0" applyFont="1" applyBorder="1" applyAlignment="1">
      <alignment horizontal="center" vertical="center" wrapText="1"/>
    </xf>
    <xf numFmtId="3" fontId="35" fillId="0" borderId="36" xfId="0" applyNumberFormat="1" applyFont="1" applyBorder="1" applyAlignment="1">
      <alignment horizontal="center" vertical="center" wrapText="1"/>
    </xf>
    <xf numFmtId="0" fontId="18" fillId="0" borderId="59" xfId="6" applyFont="1" applyBorder="1" applyAlignment="1">
      <alignment horizontal="left"/>
    </xf>
    <xf numFmtId="0" fontId="18" fillId="0" borderId="26" xfId="6" applyFont="1" applyBorder="1" applyAlignment="1">
      <alignment horizontal="left"/>
    </xf>
    <xf numFmtId="0" fontId="18" fillId="0" borderId="60" xfId="6" applyFont="1" applyBorder="1" applyAlignment="1">
      <alignment horizontal="left"/>
    </xf>
    <xf numFmtId="0" fontId="27" fillId="0" borderId="64" xfId="0" applyFont="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29" fillId="0" borderId="64" xfId="0" applyFont="1" applyBorder="1" applyAlignment="1">
      <alignment vertical="center" wrapText="1"/>
    </xf>
    <xf numFmtId="0" fontId="29" fillId="0" borderId="65" xfId="0" applyFont="1" applyBorder="1" applyAlignment="1">
      <alignment vertical="center" wrapText="1"/>
    </xf>
    <xf numFmtId="0" fontId="29" fillId="0" borderId="66" xfId="0" applyFont="1" applyBorder="1" applyAlignment="1">
      <alignment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2" xfId="0" applyFont="1" applyBorder="1" applyAlignment="1">
      <alignment horizontal="center" vertical="center" wrapText="1"/>
    </xf>
    <xf numFmtId="0" fontId="6" fillId="0" borderId="0" xfId="0" applyFont="1" applyAlignment="1">
      <alignment horizontal="left" vertical="top" wrapText="1"/>
    </xf>
    <xf numFmtId="167" fontId="4" fillId="3" borderId="0" xfId="0" applyNumberFormat="1" applyFont="1" applyFill="1" applyAlignment="1">
      <alignment horizontal="center" vertical="top" wrapText="1"/>
    </xf>
    <xf numFmtId="0" fontId="6" fillId="3" borderId="0" xfId="0" applyFont="1" applyFill="1" applyAlignment="1">
      <alignment horizontal="left" wrapText="1"/>
    </xf>
    <xf numFmtId="0" fontId="6" fillId="3" borderId="0" xfId="0" applyFont="1" applyFill="1" applyAlignment="1">
      <alignment horizontal="left" vertical="top" wrapText="1"/>
    </xf>
    <xf numFmtId="0" fontId="6" fillId="3" borderId="0" xfId="0" applyFont="1" applyFill="1" applyAlignment="1">
      <alignment horizontal="left"/>
    </xf>
    <xf numFmtId="167" fontId="4" fillId="3" borderId="0" xfId="0" applyNumberFormat="1" applyFont="1" applyFill="1" applyAlignment="1">
      <alignment horizontal="center" wrapText="1"/>
    </xf>
    <xf numFmtId="167" fontId="13" fillId="3" borderId="1" xfId="0" applyNumberFormat="1" applyFont="1" applyFill="1" applyBorder="1" applyAlignment="1">
      <alignment horizontal="center"/>
    </xf>
    <xf numFmtId="0" fontId="5" fillId="3" borderId="25"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0" xfId="0" applyFont="1" applyFill="1" applyAlignment="1">
      <alignment horizontal="left"/>
    </xf>
    <xf numFmtId="167" fontId="5" fillId="3" borderId="0" xfId="0" applyNumberFormat="1" applyFont="1" applyFill="1" applyAlignment="1">
      <alignment horizontal="left" wrapText="1"/>
    </xf>
    <xf numFmtId="167" fontId="5" fillId="3" borderId="18" xfId="0" applyNumberFormat="1" applyFont="1" applyFill="1" applyBorder="1" applyAlignment="1">
      <alignment horizontal="left" vertical="center" wrapText="1"/>
    </xf>
    <xf numFmtId="167" fontId="5" fillId="3" borderId="18" xfId="0" applyNumberFormat="1" applyFont="1" applyFill="1" applyBorder="1" applyAlignment="1">
      <alignment vertical="center" wrapText="1"/>
    </xf>
    <xf numFmtId="167" fontId="15" fillId="3" borderId="0" xfId="0" applyNumberFormat="1" applyFont="1" applyFill="1" applyAlignment="1">
      <alignment horizontal="center" wrapText="1"/>
    </xf>
    <xf numFmtId="167" fontId="5" fillId="3" borderId="43" xfId="0" applyNumberFormat="1" applyFont="1" applyFill="1" applyBorder="1" applyAlignment="1">
      <alignment horizontal="center"/>
    </xf>
    <xf numFmtId="167" fontId="5" fillId="3" borderId="33" xfId="0" applyNumberFormat="1" applyFont="1" applyFill="1" applyBorder="1" applyAlignment="1">
      <alignment horizontal="center"/>
    </xf>
    <xf numFmtId="167" fontId="5" fillId="3" borderId="16" xfId="0" applyNumberFormat="1" applyFont="1" applyFill="1" applyBorder="1" applyAlignment="1">
      <alignment horizontal="center" vertical="center" wrapText="1"/>
    </xf>
    <xf numFmtId="167" fontId="5" fillId="3" borderId="17" xfId="0" applyNumberFormat="1" applyFont="1" applyFill="1" applyBorder="1" applyAlignment="1">
      <alignment horizontal="center" vertical="center" wrapText="1"/>
    </xf>
    <xf numFmtId="167" fontId="5" fillId="3" borderId="67" xfId="0" applyNumberFormat="1" applyFont="1" applyFill="1" applyBorder="1" applyAlignment="1">
      <alignment horizontal="left" vertical="center"/>
    </xf>
  </cellXfs>
  <cellStyles count="8">
    <cellStyle name="Comma" xfId="2" builtinId="3"/>
    <cellStyle name="Currency 2" xfId="7"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ls.gov/oes/2021/may/naics3_325000.ht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95"/>
  <sheetViews>
    <sheetView workbookViewId="0"/>
  </sheetViews>
  <sheetFormatPr defaultColWidth="9.140625" defaultRowHeight="12.75" x14ac:dyDescent="0.2"/>
  <cols>
    <col min="1" max="1" width="5" style="18" customWidth="1"/>
    <col min="2" max="2" width="31.85546875" style="18" customWidth="1"/>
    <col min="3" max="3" width="18.7109375" style="18" customWidth="1"/>
    <col min="4" max="4" width="17.42578125" style="18" customWidth="1"/>
    <col min="5" max="5" width="14.7109375" style="18" bestFit="1" customWidth="1"/>
    <col min="6" max="6" width="16.5703125" style="18" customWidth="1"/>
    <col min="7" max="7" width="23.7109375" style="18" bestFit="1" customWidth="1"/>
    <col min="8" max="8" width="9.85546875" style="18" bestFit="1" customWidth="1"/>
    <col min="9" max="9" width="34.28515625" style="18" bestFit="1" customWidth="1"/>
    <col min="10" max="10" width="20.28515625" style="18" customWidth="1"/>
    <col min="11" max="11" width="10.42578125" style="18" bestFit="1" customWidth="1"/>
    <col min="12" max="12" width="9.140625" style="18"/>
    <col min="13" max="13" width="38.7109375" style="18" bestFit="1" customWidth="1"/>
    <col min="14" max="16384" width="9.140625" style="18"/>
  </cols>
  <sheetData>
    <row r="1" spans="2:14" ht="13.5" thickBot="1" x14ac:dyDescent="0.25"/>
    <row r="2" spans="2:14" ht="13.5" thickBot="1" x14ac:dyDescent="0.25">
      <c r="B2" s="99" t="s">
        <v>169</v>
      </c>
      <c r="C2" s="158" t="s">
        <v>141</v>
      </c>
      <c r="D2" s="159" t="s">
        <v>139</v>
      </c>
      <c r="E2" s="160" t="s">
        <v>140</v>
      </c>
      <c r="I2" s="236" t="s">
        <v>170</v>
      </c>
      <c r="J2" s="237" t="s">
        <v>141</v>
      </c>
      <c r="K2" s="238" t="s">
        <v>139</v>
      </c>
      <c r="L2" s="239" t="s">
        <v>140</v>
      </c>
    </row>
    <row r="3" spans="2:14" ht="13.5" thickBot="1" x14ac:dyDescent="0.25">
      <c r="B3" s="253" t="s">
        <v>168</v>
      </c>
      <c r="C3" s="233">
        <v>207</v>
      </c>
      <c r="D3" s="233">
        <f>ROUND(C3/3,0)</f>
        <v>69</v>
      </c>
      <c r="E3" s="234">
        <f>C3-D3</f>
        <v>138</v>
      </c>
      <c r="I3" s="240" t="s">
        <v>171</v>
      </c>
      <c r="J3" s="241">
        <v>9</v>
      </c>
      <c r="K3" s="242">
        <f>ROUND(J3/3,0)</f>
        <v>3</v>
      </c>
      <c r="L3" s="243">
        <f>J3-K3</f>
        <v>6</v>
      </c>
    </row>
    <row r="4" spans="2:14" x14ac:dyDescent="0.2">
      <c r="I4" s="231" t="s">
        <v>172</v>
      </c>
      <c r="J4" s="232">
        <v>17</v>
      </c>
      <c r="K4" s="157">
        <f>ROUND(J4/3,0)</f>
        <v>6</v>
      </c>
      <c r="L4" s="161">
        <f>J4-K4</f>
        <v>11</v>
      </c>
    </row>
    <row r="5" spans="2:14" x14ac:dyDescent="0.2">
      <c r="I5" s="231" t="s">
        <v>173</v>
      </c>
      <c r="J5" s="232">
        <v>3</v>
      </c>
      <c r="K5" s="157">
        <f>ROUND(J5/3,0)</f>
        <v>1</v>
      </c>
      <c r="L5" s="161">
        <f>J5-K5</f>
        <v>2</v>
      </c>
    </row>
    <row r="6" spans="2:14" x14ac:dyDescent="0.2">
      <c r="I6" s="229" t="s">
        <v>174</v>
      </c>
      <c r="J6" s="230">
        <v>14</v>
      </c>
      <c r="K6" s="157">
        <f>ROUND(J6/3,0)</f>
        <v>5</v>
      </c>
      <c r="L6" s="161">
        <f>J6-K6</f>
        <v>9</v>
      </c>
    </row>
    <row r="7" spans="2:14" ht="13.5" thickBot="1" x14ac:dyDescent="0.25">
      <c r="I7" s="244" t="s">
        <v>175</v>
      </c>
      <c r="J7" s="245">
        <v>17</v>
      </c>
      <c r="K7" s="246">
        <f>ROUND(J7/3,0)</f>
        <v>6</v>
      </c>
      <c r="L7" s="247">
        <f>J7-K7</f>
        <v>11</v>
      </c>
    </row>
    <row r="8" spans="2:14" ht="13.5" thickBot="1" x14ac:dyDescent="0.25">
      <c r="C8" s="50"/>
      <c r="D8" s="51"/>
    </row>
    <row r="9" spans="2:14" ht="15" x14ac:dyDescent="0.25">
      <c r="B9" s="100" t="s">
        <v>112</v>
      </c>
      <c r="C9" s="121"/>
      <c r="I9" s="96" t="s">
        <v>194</v>
      </c>
      <c r="J9" s="63"/>
      <c r="K9" s="64"/>
      <c r="M9" s="255" t="s">
        <v>200</v>
      </c>
      <c r="N9" s="254"/>
    </row>
    <row r="10" spans="2:14" x14ac:dyDescent="0.2">
      <c r="B10" s="94" t="s">
        <v>111</v>
      </c>
      <c r="C10" s="122" t="s">
        <v>113</v>
      </c>
      <c r="E10" s="18" t="s">
        <v>176</v>
      </c>
      <c r="I10" s="97" t="s">
        <v>111</v>
      </c>
      <c r="J10" s="91" t="s">
        <v>92</v>
      </c>
      <c r="K10" s="98" t="s">
        <v>110</v>
      </c>
      <c r="M10" s="256" t="s">
        <v>111</v>
      </c>
      <c r="N10" s="257" t="s">
        <v>113</v>
      </c>
    </row>
    <row r="11" spans="2:14" ht="13.5" thickBot="1" x14ac:dyDescent="0.25">
      <c r="B11" s="124" t="s">
        <v>151</v>
      </c>
      <c r="C11" s="131">
        <f>13576.425*F11</f>
        <v>17744.339856008857</v>
      </c>
      <c r="E11" s="18">
        <v>541.70000000000005</v>
      </c>
      <c r="F11" s="248">
        <f>E12/E11</f>
        <v>1.3069964925235369</v>
      </c>
      <c r="I11" s="95" t="s">
        <v>43</v>
      </c>
      <c r="J11" s="120">
        <v>10205000</v>
      </c>
      <c r="K11" s="123">
        <v>5276000</v>
      </c>
      <c r="M11" s="62" t="s">
        <v>147</v>
      </c>
      <c r="N11" s="258">
        <v>23200</v>
      </c>
    </row>
    <row r="12" spans="2:14" x14ac:dyDescent="0.2">
      <c r="E12" s="18">
        <v>708</v>
      </c>
      <c r="G12" s="217"/>
      <c r="I12" s="133" t="s">
        <v>195</v>
      </c>
      <c r="J12" s="235">
        <v>7</v>
      </c>
      <c r="K12" s="134"/>
      <c r="M12" s="62" t="s">
        <v>148</v>
      </c>
      <c r="N12" s="258">
        <v>4900</v>
      </c>
    </row>
    <row r="13" spans="2:14" ht="13.5" thickBot="1" x14ac:dyDescent="0.25">
      <c r="I13" s="124" t="s">
        <v>151</v>
      </c>
      <c r="J13" s="130">
        <f>J11/J12</f>
        <v>1457857.142857143</v>
      </c>
      <c r="K13" s="130">
        <f>K11/J12</f>
        <v>753714.28571428568</v>
      </c>
      <c r="L13" s="132"/>
      <c r="M13" s="62" t="s">
        <v>204</v>
      </c>
      <c r="N13" s="258">
        <v>38302</v>
      </c>
    </row>
    <row r="14" spans="2:14" ht="15.75" thickBot="1" x14ac:dyDescent="0.3">
      <c r="B14" s="96" t="s">
        <v>152</v>
      </c>
      <c r="C14" s="63"/>
      <c r="D14" s="63"/>
      <c r="E14" s="63"/>
      <c r="F14" s="63"/>
      <c r="G14" s="64"/>
      <c r="I14" s="124"/>
      <c r="J14" s="252"/>
      <c r="M14" s="253" t="s">
        <v>205</v>
      </c>
      <c r="N14" s="259">
        <v>19151</v>
      </c>
    </row>
    <row r="15" spans="2:14" ht="26.25" thickBot="1" x14ac:dyDescent="0.25">
      <c r="B15" s="127" t="s">
        <v>126</v>
      </c>
      <c r="C15" s="126" t="s">
        <v>114</v>
      </c>
      <c r="D15" s="126" t="s">
        <v>115</v>
      </c>
      <c r="E15" s="126" t="s">
        <v>116</v>
      </c>
      <c r="F15" s="126" t="s">
        <v>124</v>
      </c>
      <c r="G15" s="128" t="s">
        <v>125</v>
      </c>
    </row>
    <row r="16" spans="2:14" ht="15" x14ac:dyDescent="0.25">
      <c r="B16" s="129" t="s">
        <v>123</v>
      </c>
      <c r="C16" s="125">
        <v>46000</v>
      </c>
      <c r="D16" s="125">
        <v>29600</v>
      </c>
      <c r="E16" s="235">
        <v>64</v>
      </c>
      <c r="F16" s="120">
        <f>C16*E16</f>
        <v>2944000</v>
      </c>
      <c r="G16" s="123">
        <f>D16*E16</f>
        <v>1894400</v>
      </c>
      <c r="I16" s="96" t="s">
        <v>192</v>
      </c>
      <c r="J16" s="63"/>
      <c r="K16" s="64"/>
    </row>
    <row r="17" spans="2:11" x14ac:dyDescent="0.2">
      <c r="B17" s="129" t="s">
        <v>117</v>
      </c>
      <c r="C17" s="125">
        <v>135000</v>
      </c>
      <c r="D17" s="125">
        <v>37100</v>
      </c>
      <c r="E17" s="235">
        <v>282</v>
      </c>
      <c r="F17" s="120">
        <f>C17*E17</f>
        <v>38070000</v>
      </c>
      <c r="G17" s="123">
        <f>D17*E17</f>
        <v>10462200</v>
      </c>
      <c r="I17" s="97" t="s">
        <v>111</v>
      </c>
      <c r="J17" s="91" t="s">
        <v>92</v>
      </c>
      <c r="K17" s="98" t="s">
        <v>110</v>
      </c>
    </row>
    <row r="18" spans="2:11" x14ac:dyDescent="0.2">
      <c r="B18" s="129" t="s">
        <v>118</v>
      </c>
      <c r="C18" s="125">
        <v>565600</v>
      </c>
      <c r="D18" s="125">
        <v>97700</v>
      </c>
      <c r="E18" s="235">
        <v>281</v>
      </c>
      <c r="F18" s="120">
        <f>C18*E18</f>
        <v>158933600</v>
      </c>
      <c r="G18" s="123">
        <f>D18*E18</f>
        <v>27453700</v>
      </c>
      <c r="I18" s="95" t="s">
        <v>43</v>
      </c>
      <c r="J18" s="120">
        <v>43250</v>
      </c>
      <c r="K18" s="123">
        <v>188792</v>
      </c>
    </row>
    <row r="19" spans="2:11" x14ac:dyDescent="0.2">
      <c r="B19" s="129" t="s">
        <v>119</v>
      </c>
      <c r="C19" s="125">
        <v>879200</v>
      </c>
      <c r="D19" s="125">
        <v>150200</v>
      </c>
      <c r="E19" s="235">
        <v>136</v>
      </c>
      <c r="F19" s="120">
        <f>C19*E19</f>
        <v>119571200</v>
      </c>
      <c r="G19" s="123">
        <f>D19*E19</f>
        <v>20427200</v>
      </c>
      <c r="I19" s="133" t="s">
        <v>193</v>
      </c>
      <c r="J19" s="235">
        <f>J5</f>
        <v>3</v>
      </c>
      <c r="K19" s="134"/>
    </row>
    <row r="20" spans="2:11" ht="13.5" thickBot="1" x14ac:dyDescent="0.25">
      <c r="B20" s="129" t="s">
        <v>120</v>
      </c>
      <c r="C20" s="125">
        <v>210800</v>
      </c>
      <c r="D20" s="125">
        <v>64600</v>
      </c>
      <c r="E20" s="235">
        <v>17</v>
      </c>
      <c r="F20" s="120">
        <f>C20*E20</f>
        <v>3583600</v>
      </c>
      <c r="G20" s="123">
        <f>D20*E20</f>
        <v>1098200</v>
      </c>
      <c r="I20" s="124" t="s">
        <v>151</v>
      </c>
      <c r="J20" s="130">
        <f>J18/J19</f>
        <v>14416.666666666666</v>
      </c>
      <c r="K20" s="130">
        <f>K18/J19</f>
        <v>62930.666666666664</v>
      </c>
    </row>
    <row r="21" spans="2:11" ht="13.5" thickBot="1" x14ac:dyDescent="0.25">
      <c r="B21" s="124" t="s">
        <v>151</v>
      </c>
      <c r="C21" s="71"/>
      <c r="D21" s="71"/>
      <c r="E21" s="71"/>
      <c r="F21" s="130">
        <f>ROUND(SUM(F16:F20)/($C$3),0)</f>
        <v>1560881</v>
      </c>
      <c r="G21" s="130">
        <f>ROUND(SUM(G16:G20)/($C$3),0)</f>
        <v>296308</v>
      </c>
      <c r="H21" s="132"/>
    </row>
    <row r="22" spans="2:11" ht="13.5" thickBot="1" x14ac:dyDescent="0.25"/>
    <row r="23" spans="2:11" ht="15" x14ac:dyDescent="0.25">
      <c r="B23" s="96" t="s">
        <v>177</v>
      </c>
      <c r="C23" s="63"/>
      <c r="D23" s="64"/>
      <c r="I23" s="96" t="s">
        <v>196</v>
      </c>
      <c r="J23" s="63"/>
      <c r="K23" s="64"/>
    </row>
    <row r="24" spans="2:11" x14ac:dyDescent="0.2">
      <c r="B24" s="97" t="s">
        <v>111</v>
      </c>
      <c r="C24" s="91" t="s">
        <v>92</v>
      </c>
      <c r="D24" s="98" t="s">
        <v>110</v>
      </c>
      <c r="I24" s="97" t="s">
        <v>111</v>
      </c>
      <c r="J24" s="91" t="s">
        <v>92</v>
      </c>
      <c r="K24" s="98" t="s">
        <v>110</v>
      </c>
    </row>
    <row r="25" spans="2:11" x14ac:dyDescent="0.2">
      <c r="B25" s="277" t="s">
        <v>178</v>
      </c>
      <c r="C25" s="278"/>
      <c r="D25" s="279"/>
      <c r="I25" s="95" t="s">
        <v>43</v>
      </c>
      <c r="J25" s="120">
        <v>177392</v>
      </c>
      <c r="K25" s="123">
        <v>3533021</v>
      </c>
    </row>
    <row r="26" spans="2:11" x14ac:dyDescent="0.2">
      <c r="B26" s="133" t="s">
        <v>179</v>
      </c>
      <c r="C26" s="120">
        <v>13700000</v>
      </c>
      <c r="D26" s="134">
        <v>1360000</v>
      </c>
      <c r="I26" s="133" t="s">
        <v>193</v>
      </c>
      <c r="J26" s="235">
        <f>J4</f>
        <v>17</v>
      </c>
      <c r="K26" s="134"/>
    </row>
    <row r="27" spans="2:11" ht="13.5" thickBot="1" x14ac:dyDescent="0.25">
      <c r="B27" s="133" t="s">
        <v>180</v>
      </c>
      <c r="C27" s="120">
        <v>0</v>
      </c>
      <c r="D27" s="134">
        <v>5700000</v>
      </c>
      <c r="I27" s="124" t="s">
        <v>151</v>
      </c>
      <c r="J27" s="130">
        <f>J25/J26</f>
        <v>10434.823529411764</v>
      </c>
      <c r="K27" s="130">
        <f>K25/J26</f>
        <v>207824.76470588235</v>
      </c>
    </row>
    <row r="28" spans="2:11" x14ac:dyDescent="0.2">
      <c r="B28" s="133" t="s">
        <v>127</v>
      </c>
      <c r="C28" s="120">
        <v>3140000</v>
      </c>
      <c r="D28" s="134">
        <v>413000</v>
      </c>
    </row>
    <row r="29" spans="2:11" x14ac:dyDescent="0.2">
      <c r="B29" s="249" t="s">
        <v>43</v>
      </c>
      <c r="C29" s="250">
        <f>SUM(C26:C28)</f>
        <v>16840000</v>
      </c>
      <c r="D29" s="251">
        <f>SUM(D26:D28)</f>
        <v>7473000</v>
      </c>
    </row>
    <row r="30" spans="2:11" x14ac:dyDescent="0.2">
      <c r="B30" s="133" t="s">
        <v>129</v>
      </c>
      <c r="C30" s="235">
        <f>$C$3</f>
        <v>207</v>
      </c>
      <c r="D30" s="134"/>
    </row>
    <row r="31" spans="2:11" ht="13.5" thickBot="1" x14ac:dyDescent="0.25">
      <c r="B31" s="124" t="s">
        <v>151</v>
      </c>
      <c r="C31" s="130">
        <f>ROUND(C29/($C30),0)</f>
        <v>81353</v>
      </c>
      <c r="D31" s="131">
        <f>ROUND(D29/($C30),0)</f>
        <v>36101</v>
      </c>
    </row>
    <row r="32" spans="2:11" ht="13.5" thickBot="1" x14ac:dyDescent="0.25"/>
    <row r="33" spans="2:6" ht="15" x14ac:dyDescent="0.25">
      <c r="B33" s="96" t="s">
        <v>182</v>
      </c>
      <c r="C33" s="63"/>
      <c r="D33" s="64"/>
    </row>
    <row r="34" spans="2:6" x14ac:dyDescent="0.2">
      <c r="B34" s="97" t="s">
        <v>111</v>
      </c>
      <c r="C34" s="91" t="s">
        <v>92</v>
      </c>
      <c r="D34" s="98" t="s">
        <v>110</v>
      </c>
    </row>
    <row r="35" spans="2:6" x14ac:dyDescent="0.2">
      <c r="B35" s="95" t="s">
        <v>43</v>
      </c>
      <c r="C35" s="120">
        <v>770046</v>
      </c>
      <c r="D35" s="123">
        <v>228040</v>
      </c>
    </row>
    <row r="36" spans="2:6" x14ac:dyDescent="0.2">
      <c r="B36" s="133" t="s">
        <v>181</v>
      </c>
      <c r="C36" s="235">
        <f>$C$3</f>
        <v>207</v>
      </c>
      <c r="D36" s="134"/>
    </row>
    <row r="37" spans="2:6" ht="13.5" thickBot="1" x14ac:dyDescent="0.25">
      <c r="B37" s="124" t="s">
        <v>151</v>
      </c>
      <c r="C37" s="130">
        <f>ROUND(C35/($C36),0)</f>
        <v>3720</v>
      </c>
      <c r="D37" s="131">
        <f>ROUND(D35/($C36),0)</f>
        <v>1102</v>
      </c>
      <c r="E37" s="209"/>
      <c r="F37" s="209"/>
    </row>
    <row r="38" spans="2:6" ht="13.5" thickBot="1" x14ac:dyDescent="0.25"/>
    <row r="39" spans="2:6" ht="15" x14ac:dyDescent="0.25">
      <c r="B39" s="96" t="s">
        <v>183</v>
      </c>
      <c r="C39" s="63"/>
      <c r="D39" s="64"/>
    </row>
    <row r="40" spans="2:6" x14ac:dyDescent="0.2">
      <c r="B40" s="97" t="s">
        <v>111</v>
      </c>
      <c r="C40" s="91" t="s">
        <v>92</v>
      </c>
      <c r="D40" s="98" t="s">
        <v>110</v>
      </c>
    </row>
    <row r="41" spans="2:6" x14ac:dyDescent="0.2">
      <c r="B41" s="95" t="s">
        <v>43</v>
      </c>
      <c r="C41" s="120">
        <v>32500</v>
      </c>
      <c r="D41" s="123">
        <v>3500</v>
      </c>
    </row>
    <row r="42" spans="2:6" x14ac:dyDescent="0.2">
      <c r="B42" s="133" t="s">
        <v>184</v>
      </c>
      <c r="C42" s="235">
        <v>2</v>
      </c>
      <c r="D42" s="134"/>
    </row>
    <row r="43" spans="2:6" ht="13.5" thickBot="1" x14ac:dyDescent="0.25">
      <c r="B43" s="124" t="s">
        <v>151</v>
      </c>
      <c r="C43" s="130">
        <f>ROUND(C41/($C42),0)</f>
        <v>16250</v>
      </c>
      <c r="D43" s="131">
        <f>ROUND(D41/($C42),0)</f>
        <v>1750</v>
      </c>
    </row>
    <row r="44" spans="2:6" ht="13.5" thickBot="1" x14ac:dyDescent="0.25"/>
    <row r="45" spans="2:6" ht="15" x14ac:dyDescent="0.25">
      <c r="B45" s="96" t="s">
        <v>185</v>
      </c>
      <c r="C45" s="63"/>
      <c r="D45" s="64"/>
    </row>
    <row r="46" spans="2:6" x14ac:dyDescent="0.2">
      <c r="B46" s="97" t="s">
        <v>111</v>
      </c>
      <c r="C46" s="91" t="s">
        <v>92</v>
      </c>
      <c r="D46" s="98" t="s">
        <v>110</v>
      </c>
    </row>
    <row r="47" spans="2:6" x14ac:dyDescent="0.2">
      <c r="B47" s="95" t="s">
        <v>43</v>
      </c>
      <c r="C47" s="120">
        <v>77665</v>
      </c>
      <c r="D47" s="123">
        <v>72910</v>
      </c>
    </row>
    <row r="48" spans="2:6" x14ac:dyDescent="0.2">
      <c r="B48" s="133" t="s">
        <v>186</v>
      </c>
      <c r="C48" s="235">
        <v>209</v>
      </c>
      <c r="D48" s="134"/>
    </row>
    <row r="49" spans="2:4" ht="13.5" thickBot="1" x14ac:dyDescent="0.25">
      <c r="B49" s="124" t="s">
        <v>151</v>
      </c>
      <c r="C49" s="130">
        <f>ROUND(C47/($C48),0)</f>
        <v>372</v>
      </c>
      <c r="D49" s="131">
        <f>ROUND(D47/($C48),0)</f>
        <v>349</v>
      </c>
    </row>
    <row r="50" spans="2:4" ht="13.5" thickBot="1" x14ac:dyDescent="0.25"/>
    <row r="51" spans="2:4" ht="15" x14ac:dyDescent="0.25">
      <c r="B51" s="96" t="s">
        <v>187</v>
      </c>
      <c r="C51" s="63"/>
      <c r="D51" s="64"/>
    </row>
    <row r="52" spans="2:4" x14ac:dyDescent="0.2">
      <c r="B52" s="97" t="s">
        <v>111</v>
      </c>
      <c r="C52" s="91" t="s">
        <v>92</v>
      </c>
      <c r="D52" s="98" t="s">
        <v>110</v>
      </c>
    </row>
    <row r="53" spans="2:4" x14ac:dyDescent="0.2">
      <c r="B53" s="95" t="s">
        <v>43</v>
      </c>
      <c r="C53" s="120">
        <v>2637440</v>
      </c>
      <c r="D53" s="123">
        <v>456480</v>
      </c>
    </row>
    <row r="54" spans="2:4" x14ac:dyDescent="0.2">
      <c r="B54" s="133" t="s">
        <v>186</v>
      </c>
      <c r="C54" s="235">
        <v>209</v>
      </c>
      <c r="D54" s="134"/>
    </row>
    <row r="55" spans="2:4" ht="13.5" thickBot="1" x14ac:dyDescent="0.25">
      <c r="B55" s="124" t="s">
        <v>151</v>
      </c>
      <c r="C55" s="130">
        <f>ROUND(C53/($C54),0)</f>
        <v>12619</v>
      </c>
      <c r="D55" s="131">
        <f>ROUND(D53/($C54),0)</f>
        <v>2184</v>
      </c>
    </row>
    <row r="56" spans="2:4" ht="13.5" thickBot="1" x14ac:dyDescent="0.25"/>
    <row r="57" spans="2:4" ht="15" x14ac:dyDescent="0.25">
      <c r="B57" s="96" t="s">
        <v>188</v>
      </c>
      <c r="C57" s="63"/>
      <c r="D57" s="64"/>
    </row>
    <row r="58" spans="2:4" x14ac:dyDescent="0.2">
      <c r="B58" s="97" t="s">
        <v>111</v>
      </c>
      <c r="C58" s="91" t="s">
        <v>92</v>
      </c>
      <c r="D58" s="98" t="s">
        <v>110</v>
      </c>
    </row>
    <row r="59" spans="2:4" x14ac:dyDescent="0.2">
      <c r="B59" s="95" t="s">
        <v>43</v>
      </c>
      <c r="C59" s="120">
        <v>11760000</v>
      </c>
      <c r="D59" s="123">
        <v>6825000</v>
      </c>
    </row>
    <row r="60" spans="2:4" x14ac:dyDescent="0.2">
      <c r="B60" s="133" t="s">
        <v>189</v>
      </c>
      <c r="C60" s="235">
        <v>21</v>
      </c>
      <c r="D60" s="134"/>
    </row>
    <row r="61" spans="2:4" ht="13.5" thickBot="1" x14ac:dyDescent="0.25">
      <c r="B61" s="124" t="s">
        <v>151</v>
      </c>
      <c r="C61" s="130">
        <f>ROUND(C59/($C60),0)</f>
        <v>560000</v>
      </c>
      <c r="D61" s="131">
        <f>ROUND(D59/($C60),0)</f>
        <v>325000</v>
      </c>
    </row>
    <row r="62" spans="2:4" ht="13.5" thickBot="1" x14ac:dyDescent="0.25"/>
    <row r="63" spans="2:4" ht="15" x14ac:dyDescent="0.25">
      <c r="B63" s="96" t="s">
        <v>190</v>
      </c>
      <c r="C63" s="63"/>
      <c r="D63" s="64"/>
    </row>
    <row r="64" spans="2:4" x14ac:dyDescent="0.2">
      <c r="B64" s="97" t="s">
        <v>111</v>
      </c>
      <c r="C64" s="91" t="s">
        <v>92</v>
      </c>
      <c r="D64" s="98"/>
    </row>
    <row r="65" spans="2:7" x14ac:dyDescent="0.2">
      <c r="B65" s="95" t="s">
        <v>43</v>
      </c>
      <c r="C65" s="120">
        <v>9753500</v>
      </c>
      <c r="D65" s="123">
        <v>32055000</v>
      </c>
    </row>
    <row r="66" spans="2:7" x14ac:dyDescent="0.2">
      <c r="B66" s="133" t="s">
        <v>191</v>
      </c>
      <c r="C66" s="235">
        <v>126</v>
      </c>
      <c r="D66" s="134"/>
    </row>
    <row r="67" spans="2:7" ht="13.5" thickBot="1" x14ac:dyDescent="0.25">
      <c r="B67" s="124" t="s">
        <v>151</v>
      </c>
      <c r="C67" s="130">
        <f>ROUND(C65/($C66),0)</f>
        <v>77409</v>
      </c>
      <c r="D67" s="131">
        <f>ROUND(D65/($C66),0)</f>
        <v>254405</v>
      </c>
    </row>
    <row r="68" spans="2:7" ht="13.5" thickBot="1" x14ac:dyDescent="0.25"/>
    <row r="69" spans="2:7" ht="15" x14ac:dyDescent="0.25">
      <c r="B69" s="96" t="s">
        <v>197</v>
      </c>
      <c r="C69" s="63"/>
      <c r="D69" s="64"/>
    </row>
    <row r="70" spans="2:7" x14ac:dyDescent="0.2">
      <c r="B70" s="97" t="s">
        <v>111</v>
      </c>
      <c r="C70" s="91" t="s">
        <v>92</v>
      </c>
      <c r="D70" s="98" t="s">
        <v>110</v>
      </c>
    </row>
    <row r="71" spans="2:7" ht="38.25" x14ac:dyDescent="0.2">
      <c r="B71" s="260" t="s">
        <v>199</v>
      </c>
      <c r="C71" s="120">
        <v>8208893</v>
      </c>
      <c r="D71" s="123">
        <v>20571661</v>
      </c>
    </row>
    <row r="72" spans="2:7" ht="27.6" customHeight="1" x14ac:dyDescent="0.2">
      <c r="B72" s="95" t="s">
        <v>198</v>
      </c>
      <c r="C72" s="120">
        <v>0</v>
      </c>
      <c r="D72" s="134">
        <v>95095</v>
      </c>
    </row>
    <row r="73" spans="2:7" x14ac:dyDescent="0.2">
      <c r="B73" s="133" t="s">
        <v>191</v>
      </c>
      <c r="C73" s="235">
        <v>209</v>
      </c>
      <c r="D73" s="134"/>
    </row>
    <row r="74" spans="2:7" ht="13.5" thickBot="1" x14ac:dyDescent="0.25">
      <c r="B74" s="124" t="s">
        <v>151</v>
      </c>
      <c r="C74" s="130">
        <f>ROUND((C71+C72)/($C73),0)</f>
        <v>39277</v>
      </c>
      <c r="D74" s="131">
        <f>ROUND((D71+D72)/($C73),0)</f>
        <v>98884</v>
      </c>
    </row>
    <row r="77" spans="2:7" ht="13.5" thickBot="1" x14ac:dyDescent="0.25"/>
    <row r="78" spans="2:7" ht="15" x14ac:dyDescent="0.25">
      <c r="B78" s="100" t="s">
        <v>122</v>
      </c>
      <c r="C78" s="63"/>
      <c r="D78" s="63"/>
      <c r="E78" s="63"/>
      <c r="F78" s="63"/>
      <c r="G78" s="64"/>
    </row>
    <row r="79" spans="2:7" x14ac:dyDescent="0.2">
      <c r="B79" s="68" t="s">
        <v>229</v>
      </c>
      <c r="G79" s="65"/>
    </row>
    <row r="80" spans="2:7" x14ac:dyDescent="0.2">
      <c r="B80" s="52" t="s">
        <v>165</v>
      </c>
      <c r="G80" s="65"/>
    </row>
    <row r="81" spans="2:7" ht="25.5" x14ac:dyDescent="0.2">
      <c r="B81" s="53" t="s">
        <v>76</v>
      </c>
      <c r="C81" s="54" t="s">
        <v>77</v>
      </c>
      <c r="D81" s="262" t="s">
        <v>225</v>
      </c>
      <c r="E81" s="263" t="s">
        <v>226</v>
      </c>
      <c r="F81" s="263" t="s">
        <v>227</v>
      </c>
      <c r="G81" s="93" t="s">
        <v>228</v>
      </c>
    </row>
    <row r="82" spans="2:7" x14ac:dyDescent="0.2">
      <c r="B82" s="62" t="s">
        <v>0</v>
      </c>
      <c r="C82" s="55" t="s">
        <v>222</v>
      </c>
      <c r="D82" s="55">
        <v>48.21</v>
      </c>
      <c r="E82" s="66">
        <v>1.5</v>
      </c>
      <c r="F82" s="66">
        <v>1.4</v>
      </c>
      <c r="G82" s="67">
        <v>101.24</v>
      </c>
    </row>
    <row r="83" spans="2:7" x14ac:dyDescent="0.2">
      <c r="B83" s="62" t="s">
        <v>223</v>
      </c>
      <c r="C83" s="261" t="s">
        <v>164</v>
      </c>
      <c r="D83" s="55">
        <v>76.83</v>
      </c>
      <c r="E83" s="66">
        <v>1.5</v>
      </c>
      <c r="F83" s="66">
        <v>1.4</v>
      </c>
      <c r="G83" s="67">
        <v>161.34</v>
      </c>
    </row>
    <row r="84" spans="2:7" x14ac:dyDescent="0.2">
      <c r="B84" s="62" t="s">
        <v>1</v>
      </c>
      <c r="C84" s="261" t="s">
        <v>224</v>
      </c>
      <c r="D84" s="55">
        <v>21.51</v>
      </c>
      <c r="E84" s="66">
        <v>1.5</v>
      </c>
      <c r="F84" s="66">
        <v>1.4</v>
      </c>
      <c r="G84" s="67">
        <v>45.17</v>
      </c>
    </row>
    <row r="85" spans="2:7" x14ac:dyDescent="0.2">
      <c r="B85" s="68"/>
      <c r="C85" s="56"/>
      <c r="D85" s="57"/>
      <c r="E85" s="69"/>
      <c r="G85" s="65"/>
    </row>
    <row r="86" spans="2:7" ht="15.75" thickBot="1" x14ac:dyDescent="0.3">
      <c r="B86" s="264" t="s">
        <v>230</v>
      </c>
      <c r="C86" s="70"/>
      <c r="D86" s="70"/>
      <c r="E86" s="71"/>
      <c r="F86" s="71"/>
      <c r="G86" s="72"/>
    </row>
    <row r="87" spans="2:7" ht="13.5" thickBot="1" x14ac:dyDescent="0.25">
      <c r="B87" s="73"/>
      <c r="C87" s="69"/>
      <c r="D87" s="69"/>
    </row>
    <row r="88" spans="2:7" ht="15" x14ac:dyDescent="0.25">
      <c r="B88" s="101" t="s">
        <v>121</v>
      </c>
      <c r="C88" s="83"/>
      <c r="D88" s="84"/>
    </row>
    <row r="89" spans="2:7" ht="25.5" x14ac:dyDescent="0.2">
      <c r="B89" s="85"/>
      <c r="C89" s="82" t="s">
        <v>45</v>
      </c>
      <c r="D89" s="86" t="s">
        <v>46</v>
      </c>
    </row>
    <row r="90" spans="2:7" x14ac:dyDescent="0.2">
      <c r="B90" s="75" t="s">
        <v>47</v>
      </c>
      <c r="C90" s="59">
        <v>32.020000000000003</v>
      </c>
      <c r="D90" s="87">
        <f>C90*1.6</f>
        <v>51.232000000000006</v>
      </c>
    </row>
    <row r="91" spans="2:7" x14ac:dyDescent="0.2">
      <c r="B91" s="74" t="s">
        <v>48</v>
      </c>
      <c r="C91" s="58">
        <v>43.15</v>
      </c>
      <c r="D91" s="87">
        <f>C91*1.6</f>
        <v>69.040000000000006</v>
      </c>
    </row>
    <row r="92" spans="2:7" x14ac:dyDescent="0.2">
      <c r="B92" s="75" t="s">
        <v>49</v>
      </c>
      <c r="C92" s="59">
        <v>17.329999999999998</v>
      </c>
      <c r="D92" s="87">
        <f>C92*1.6</f>
        <v>27.727999999999998</v>
      </c>
    </row>
    <row r="93" spans="2:7" x14ac:dyDescent="0.2">
      <c r="B93" s="77" t="s">
        <v>96</v>
      </c>
      <c r="C93" s="61"/>
      <c r="D93" s="76"/>
    </row>
    <row r="94" spans="2:7" x14ac:dyDescent="0.2">
      <c r="B94" s="77" t="s">
        <v>97</v>
      </c>
      <c r="C94" s="60"/>
      <c r="D94" s="78"/>
    </row>
    <row r="95" spans="2:7" ht="13.5" thickBot="1" x14ac:dyDescent="0.25">
      <c r="B95" s="79"/>
      <c r="C95" s="80"/>
      <c r="D95" s="81"/>
    </row>
  </sheetData>
  <sheetProtection algorithmName="SHA-512" hashValue="f7i0qpiTaXTZwb1eRcGcoaZ6HWLbUfEus/nPjITWnrtbIGswTn/K/0QA9tshFtyxlfvs4UuCMEW+6MmRdCuf4Q==" saltValue="NxUdtBIsw4ipRC+PwWiIaQ==" spinCount="100000" sheet="1" objects="1" scenarios="1"/>
  <mergeCells count="1">
    <mergeCell ref="B25:D25"/>
  </mergeCells>
  <phoneticPr fontId="38" type="noConversion"/>
  <hyperlinks>
    <hyperlink ref="B86" r:id="rId1" xr:uid="{D3195030-7072-43E4-9649-8F5C874F9129}"/>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I8"/>
  <sheetViews>
    <sheetView zoomScaleNormal="100" workbookViewId="0"/>
  </sheetViews>
  <sheetFormatPr defaultColWidth="9.140625" defaultRowHeight="15" x14ac:dyDescent="0.25"/>
  <cols>
    <col min="1" max="1" width="3.5703125" style="1" customWidth="1"/>
    <col min="2" max="2" width="8.5703125" style="8" customWidth="1"/>
    <col min="3" max="3" width="11.5703125" style="8" customWidth="1"/>
    <col min="4" max="4" width="18.28515625" style="8" customWidth="1"/>
    <col min="5" max="5" width="14" style="8" customWidth="1"/>
    <col min="6" max="6" width="12.85546875" style="8" customWidth="1"/>
    <col min="7" max="7" width="13" style="8" customWidth="1"/>
    <col min="8" max="8" width="10.5703125" style="8" customWidth="1"/>
    <col min="9" max="9" width="12.7109375" style="8" customWidth="1"/>
    <col min="10" max="16384" width="9.140625" style="1"/>
  </cols>
  <sheetData>
    <row r="2" spans="2:9" ht="39" customHeight="1" x14ac:dyDescent="0.25">
      <c r="B2" s="297" t="s">
        <v>313</v>
      </c>
      <c r="C2" s="297"/>
      <c r="D2" s="297"/>
      <c r="E2" s="297"/>
      <c r="F2" s="297"/>
      <c r="G2" s="297"/>
      <c r="H2" s="297"/>
      <c r="I2" s="297"/>
    </row>
    <row r="3" spans="2:9" ht="29.25" customHeight="1" thickBot="1" x14ac:dyDescent="0.3">
      <c r="B3" s="179" t="s">
        <v>35</v>
      </c>
      <c r="C3" s="180" t="s">
        <v>36</v>
      </c>
      <c r="D3" s="180" t="s">
        <v>37</v>
      </c>
      <c r="E3" s="180" t="s">
        <v>38</v>
      </c>
      <c r="F3" s="180" t="s">
        <v>51</v>
      </c>
      <c r="G3" s="180" t="s">
        <v>40</v>
      </c>
      <c r="H3" s="180" t="s">
        <v>52</v>
      </c>
      <c r="I3" s="180" t="s">
        <v>42</v>
      </c>
    </row>
    <row r="4" spans="2:9" ht="15.75" thickTop="1" x14ac:dyDescent="0.25">
      <c r="B4" s="181">
        <v>1</v>
      </c>
      <c r="C4" s="2">
        <f>EPA_YR1!H41</f>
        <v>1148.0800000000002</v>
      </c>
      <c r="D4" s="2">
        <f>EPA_YR1!I41</f>
        <v>57.403999999999996</v>
      </c>
      <c r="E4" s="2">
        <f>EPA_YR1!J41</f>
        <v>114.80799999999999</v>
      </c>
      <c r="F4" s="2">
        <f>SUM(C4:E4)</f>
        <v>1320.2920000000001</v>
      </c>
      <c r="G4" s="3">
        <f>EPA_YR1!L41</f>
        <v>67128.252944000007</v>
      </c>
      <c r="H4" s="3">
        <v>0</v>
      </c>
      <c r="I4" s="3">
        <f>+G4+H4</f>
        <v>67128.252944000007</v>
      </c>
    </row>
    <row r="5" spans="2:9" x14ac:dyDescent="0.25">
      <c r="B5" s="182">
        <v>2</v>
      </c>
      <c r="C5" s="4">
        <f>EPA_YR2!H41</f>
        <v>4988.21</v>
      </c>
      <c r="D5" s="4">
        <f>EPA_YR2!I41</f>
        <v>249.41050000000007</v>
      </c>
      <c r="E5" s="4">
        <f>EPA_YR2!J41</f>
        <v>498.82100000000014</v>
      </c>
      <c r="F5" s="2">
        <f>SUM(C5:E5)</f>
        <v>5736.4414999999999</v>
      </c>
      <c r="G5" s="5">
        <f>EPA_YR2!L41</f>
        <v>313044.08432800003</v>
      </c>
      <c r="H5" s="5">
        <v>0</v>
      </c>
      <c r="I5" s="5">
        <f>+G5+H5</f>
        <v>313044.08432800003</v>
      </c>
    </row>
    <row r="6" spans="2:9" ht="15.75" thickBot="1" x14ac:dyDescent="0.3">
      <c r="B6" s="179">
        <v>3</v>
      </c>
      <c r="C6" s="6">
        <f>EPA_YR3!H41</f>
        <v>8196</v>
      </c>
      <c r="D6" s="6">
        <f>EPA_YR3!I41</f>
        <v>409.79999999999995</v>
      </c>
      <c r="E6" s="6">
        <f>EPA_YR3!J41</f>
        <v>819.59999999999991</v>
      </c>
      <c r="F6" s="6">
        <f>SUM(C6:E6)</f>
        <v>9425.4</v>
      </c>
      <c r="G6" s="7">
        <f>EPA_YR3!L41</f>
        <v>497353.43279999995</v>
      </c>
      <c r="H6" s="7">
        <v>0</v>
      </c>
      <c r="I6" s="7">
        <f>+G6+H6</f>
        <v>497353.43279999995</v>
      </c>
    </row>
    <row r="7" spans="2:9" ht="15.75" thickTop="1" x14ac:dyDescent="0.25">
      <c r="B7" s="181" t="s">
        <v>43</v>
      </c>
      <c r="C7" s="2">
        <f t="shared" ref="C7:I7" si="0">SUM(C4:C6)</f>
        <v>14332.29</v>
      </c>
      <c r="D7" s="2">
        <f t="shared" si="0"/>
        <v>716.61450000000002</v>
      </c>
      <c r="E7" s="2">
        <f t="shared" si="0"/>
        <v>1433.229</v>
      </c>
      <c r="F7" s="2">
        <f t="shared" si="0"/>
        <v>16482.1335</v>
      </c>
      <c r="G7" s="3">
        <f t="shared" si="0"/>
        <v>877525.77007199998</v>
      </c>
      <c r="H7" s="3">
        <f t="shared" si="0"/>
        <v>0</v>
      </c>
      <c r="I7" s="3">
        <f t="shared" si="0"/>
        <v>877525.77007199998</v>
      </c>
    </row>
    <row r="8" spans="2:9" x14ac:dyDescent="0.25">
      <c r="B8" s="182" t="s">
        <v>44</v>
      </c>
      <c r="C8" s="4">
        <f t="shared" ref="C8:I8" si="1">AVERAGE(C4:C6)</f>
        <v>4777.43</v>
      </c>
      <c r="D8" s="4">
        <f t="shared" si="1"/>
        <v>238.8715</v>
      </c>
      <c r="E8" s="4">
        <f t="shared" si="1"/>
        <v>477.74299999999999</v>
      </c>
      <c r="F8" s="4">
        <f t="shared" si="1"/>
        <v>5494.0445</v>
      </c>
      <c r="G8" s="5">
        <f t="shared" si="1"/>
        <v>292508.59002399998</v>
      </c>
      <c r="H8" s="5">
        <f t="shared" si="1"/>
        <v>0</v>
      </c>
      <c r="I8" s="5">
        <f t="shared" si="1"/>
        <v>292508.59002399998</v>
      </c>
    </row>
  </sheetData>
  <sheetProtection algorithmName="SHA-512" hashValue="S0KmtF2d3orGUL9hCRs6G3lZ9fMWw9SqA0+mta49NPZ1zFXPe9omTMDyhP60P3xpxHKKYf1iRE5bOt6wHFLYWg==" saltValue="9aHd36/wQjDAWLdlZWEuOA==" spinCount="100000" sheet="1" objects="1" scenarios="1"/>
  <mergeCells count="1">
    <mergeCell ref="B2:I2"/>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A704-0BDB-48D9-9FB6-06C875D99756}">
  <sheetPr>
    <tabColor theme="4"/>
  </sheetPr>
  <dimension ref="B2:H56"/>
  <sheetViews>
    <sheetView workbookViewId="0"/>
  </sheetViews>
  <sheetFormatPr defaultColWidth="9.140625" defaultRowHeight="12.75" x14ac:dyDescent="0.2"/>
  <cols>
    <col min="1" max="1" width="9.140625" style="152"/>
    <col min="2" max="2" width="27.85546875" style="152" customWidth="1"/>
    <col min="3" max="4" width="12.42578125" style="152" bestFit="1" customWidth="1"/>
    <col min="5" max="5" width="16.140625" style="152" customWidth="1"/>
    <col min="6" max="6" width="13.140625" style="152" bestFit="1" customWidth="1"/>
    <col min="7" max="7" width="12.85546875" style="152" customWidth="1"/>
    <col min="8" max="8" width="12.28515625" style="152" bestFit="1" customWidth="1"/>
    <col min="9" max="16384" width="9.140625" style="152"/>
  </cols>
  <sheetData>
    <row r="2" spans="2:8" ht="15.75" x14ac:dyDescent="0.2">
      <c r="B2" s="289" t="s">
        <v>107</v>
      </c>
      <c r="C2" s="289"/>
      <c r="D2" s="289"/>
      <c r="E2" s="289"/>
      <c r="F2" s="289"/>
      <c r="G2" s="289"/>
      <c r="H2" s="289"/>
    </row>
    <row r="3" spans="2:8" x14ac:dyDescent="0.2">
      <c r="B3" s="155" t="s">
        <v>4</v>
      </c>
      <c r="C3" s="155" t="s">
        <v>5</v>
      </c>
      <c r="D3" s="155" t="s">
        <v>6</v>
      </c>
      <c r="E3" s="155" t="s">
        <v>7</v>
      </c>
      <c r="F3" s="155" t="s">
        <v>8</v>
      </c>
      <c r="G3" s="155" t="s">
        <v>9</v>
      </c>
      <c r="H3" s="155" t="s">
        <v>103</v>
      </c>
    </row>
    <row r="4" spans="2:8" ht="63.75" x14ac:dyDescent="0.2">
      <c r="B4" s="156" t="s">
        <v>138</v>
      </c>
      <c r="C4" s="156" t="s">
        <v>133</v>
      </c>
      <c r="D4" s="156" t="s">
        <v>134</v>
      </c>
      <c r="E4" s="156" t="s">
        <v>136</v>
      </c>
      <c r="F4" s="156" t="s">
        <v>135</v>
      </c>
      <c r="G4" s="156" t="s">
        <v>146</v>
      </c>
      <c r="H4" s="156" t="s">
        <v>137</v>
      </c>
    </row>
    <row r="5" spans="2:8" x14ac:dyDescent="0.2">
      <c r="B5" s="153" t="s">
        <v>132</v>
      </c>
      <c r="C5" s="151">
        <f>Inputs!F21</f>
        <v>1560881</v>
      </c>
      <c r="D5" s="154">
        <v>209</v>
      </c>
      <c r="E5" s="151">
        <f t="shared" ref="E5:E18" si="0">C5*D5</f>
        <v>326224129</v>
      </c>
      <c r="F5" s="151">
        <f>Inputs!G21</f>
        <v>296308</v>
      </c>
      <c r="G5" s="154">
        <v>209</v>
      </c>
      <c r="H5" s="151">
        <f t="shared" ref="H5:H17" si="1">F5*G5</f>
        <v>61928372</v>
      </c>
    </row>
    <row r="6" spans="2:8" x14ac:dyDescent="0.2">
      <c r="B6" s="153" t="s">
        <v>239</v>
      </c>
      <c r="C6" s="151">
        <f>Inputs!C31</f>
        <v>81353</v>
      </c>
      <c r="D6" s="154">
        <v>209</v>
      </c>
      <c r="E6" s="151">
        <f t="shared" si="0"/>
        <v>17002777</v>
      </c>
      <c r="F6" s="151">
        <f>Inputs!D31</f>
        <v>36101</v>
      </c>
      <c r="G6" s="154">
        <v>209</v>
      </c>
      <c r="H6" s="151">
        <f t="shared" si="1"/>
        <v>7545109</v>
      </c>
    </row>
    <row r="7" spans="2:8" ht="25.5" x14ac:dyDescent="0.2">
      <c r="B7" s="228" t="s">
        <v>241</v>
      </c>
      <c r="C7" s="151">
        <f>Inputs!C37</f>
        <v>3720</v>
      </c>
      <c r="D7" s="154">
        <v>209</v>
      </c>
      <c r="E7" s="151">
        <f t="shared" si="0"/>
        <v>777480</v>
      </c>
      <c r="F7" s="151">
        <f>Inputs!D37</f>
        <v>1102</v>
      </c>
      <c r="G7" s="154">
        <v>209</v>
      </c>
      <c r="H7" s="151">
        <f t="shared" si="1"/>
        <v>230318</v>
      </c>
    </row>
    <row r="8" spans="2:8" ht="28.5" x14ac:dyDescent="0.2">
      <c r="B8" s="228" t="s">
        <v>315</v>
      </c>
      <c r="C8" s="151">
        <f>Inputs!C43</f>
        <v>16250</v>
      </c>
      <c r="D8" s="154">
        <v>2</v>
      </c>
      <c r="E8" s="151">
        <f t="shared" si="0"/>
        <v>32500</v>
      </c>
      <c r="F8" s="151">
        <f>Inputs!D43</f>
        <v>1750</v>
      </c>
      <c r="G8" s="154">
        <v>2</v>
      </c>
      <c r="H8" s="151">
        <f t="shared" si="1"/>
        <v>3500</v>
      </c>
    </row>
    <row r="9" spans="2:8" x14ac:dyDescent="0.2">
      <c r="B9" s="153" t="s">
        <v>240</v>
      </c>
      <c r="C9" s="151">
        <f>Inputs!C49</f>
        <v>372</v>
      </c>
      <c r="D9" s="154">
        <v>209</v>
      </c>
      <c r="E9" s="151">
        <f t="shared" si="0"/>
        <v>77748</v>
      </c>
      <c r="F9" s="151">
        <f>Inputs!D49</f>
        <v>349</v>
      </c>
      <c r="G9" s="154">
        <v>209</v>
      </c>
      <c r="H9" s="151">
        <f t="shared" si="1"/>
        <v>72941</v>
      </c>
    </row>
    <row r="10" spans="2:8" ht="25.5" x14ac:dyDescent="0.2">
      <c r="B10" s="228" t="s">
        <v>187</v>
      </c>
      <c r="C10" s="151">
        <f>Inputs!C55</f>
        <v>12619</v>
      </c>
      <c r="D10" s="154">
        <v>209</v>
      </c>
      <c r="E10" s="151">
        <f t="shared" si="0"/>
        <v>2637371</v>
      </c>
      <c r="F10" s="151">
        <f>Inputs!D55</f>
        <v>2184</v>
      </c>
      <c r="G10" s="154">
        <v>209</v>
      </c>
      <c r="H10" s="151">
        <f t="shared" si="1"/>
        <v>456456</v>
      </c>
    </row>
    <row r="11" spans="2:8" ht="28.5" x14ac:dyDescent="0.2">
      <c r="B11" s="228" t="s">
        <v>316</v>
      </c>
      <c r="C11" s="151">
        <f>Inputs!C61</f>
        <v>560000</v>
      </c>
      <c r="D11" s="154">
        <v>21</v>
      </c>
      <c r="E11" s="151">
        <f t="shared" si="0"/>
        <v>11760000</v>
      </c>
      <c r="F11" s="151">
        <f>Inputs!D61</f>
        <v>325000</v>
      </c>
      <c r="G11" s="154">
        <v>21</v>
      </c>
      <c r="H11" s="151">
        <f t="shared" si="1"/>
        <v>6825000</v>
      </c>
    </row>
    <row r="12" spans="2:8" ht="15.75" x14ac:dyDescent="0.2">
      <c r="B12" s="228" t="s">
        <v>317</v>
      </c>
      <c r="C12" s="151">
        <f>Inputs!C67</f>
        <v>77409</v>
      </c>
      <c r="D12" s="154">
        <v>126</v>
      </c>
      <c r="E12" s="151">
        <f t="shared" si="0"/>
        <v>9753534</v>
      </c>
      <c r="F12" s="151">
        <f>Inputs!D67</f>
        <v>254405</v>
      </c>
      <c r="G12" s="154">
        <v>126</v>
      </c>
      <c r="H12" s="151">
        <f t="shared" si="1"/>
        <v>32055030</v>
      </c>
    </row>
    <row r="13" spans="2:8" ht="25.5" x14ac:dyDescent="0.2">
      <c r="B13" s="228" t="s">
        <v>242</v>
      </c>
      <c r="C13" s="151">
        <f>Inputs!C74</f>
        <v>39277</v>
      </c>
      <c r="D13" s="154">
        <v>209</v>
      </c>
      <c r="E13" s="151">
        <f t="shared" si="0"/>
        <v>8208893</v>
      </c>
      <c r="F13" s="151">
        <f>Inputs!D74</f>
        <v>98884</v>
      </c>
      <c r="G13" s="154">
        <v>209</v>
      </c>
      <c r="H13" s="151">
        <f t="shared" si="1"/>
        <v>20666756</v>
      </c>
    </row>
    <row r="14" spans="2:8" ht="41.25" x14ac:dyDescent="0.2">
      <c r="B14" s="228" t="s">
        <v>318</v>
      </c>
      <c r="C14" s="151">
        <f>Inputs!J20</f>
        <v>14416.666666666666</v>
      </c>
      <c r="D14" s="154">
        <v>3</v>
      </c>
      <c r="E14" s="151">
        <f t="shared" si="0"/>
        <v>43250</v>
      </c>
      <c r="F14" s="151">
        <f>Inputs!K20</f>
        <v>62930.666666666664</v>
      </c>
      <c r="G14" s="154">
        <v>3</v>
      </c>
      <c r="H14" s="151">
        <f t="shared" si="1"/>
        <v>188792</v>
      </c>
    </row>
    <row r="15" spans="2:8" ht="25.5" x14ac:dyDescent="0.2">
      <c r="B15" s="228" t="s">
        <v>243</v>
      </c>
      <c r="C15" s="151">
        <f>Inputs!J27</f>
        <v>10434.823529411764</v>
      </c>
      <c r="D15" s="154">
        <v>17</v>
      </c>
      <c r="E15" s="151">
        <f t="shared" si="0"/>
        <v>177392</v>
      </c>
      <c r="F15" s="151">
        <f>Inputs!K27</f>
        <v>207824.76470588235</v>
      </c>
      <c r="G15" s="154">
        <v>17</v>
      </c>
      <c r="H15" s="151">
        <f t="shared" si="1"/>
        <v>3533021</v>
      </c>
    </row>
    <row r="16" spans="2:8" ht="28.5" x14ac:dyDescent="0.2">
      <c r="B16" s="228" t="s">
        <v>319</v>
      </c>
      <c r="C16" s="151">
        <f>Inputs!J13</f>
        <v>1457857.142857143</v>
      </c>
      <c r="D16" s="154">
        <v>7</v>
      </c>
      <c r="E16" s="151">
        <f t="shared" si="0"/>
        <v>10205000</v>
      </c>
      <c r="F16" s="151">
        <f>Inputs!K13</f>
        <v>753714.28571428568</v>
      </c>
      <c r="G16" s="154">
        <v>7</v>
      </c>
      <c r="H16" s="151">
        <f t="shared" si="1"/>
        <v>5276000</v>
      </c>
    </row>
    <row r="17" spans="2:8" ht="41.25" x14ac:dyDescent="0.2">
      <c r="B17" s="228" t="s">
        <v>320</v>
      </c>
      <c r="C17" s="151">
        <f>Inputs!N11</f>
        <v>23200</v>
      </c>
      <c r="D17" s="154">
        <v>7</v>
      </c>
      <c r="E17" s="151">
        <f t="shared" si="0"/>
        <v>162400</v>
      </c>
      <c r="F17" s="151">
        <f>Inputs!N12</f>
        <v>4900</v>
      </c>
      <c r="G17" s="154">
        <v>7</v>
      </c>
      <c r="H17" s="151">
        <f t="shared" si="1"/>
        <v>34300</v>
      </c>
    </row>
    <row r="18" spans="2:8" ht="41.25" x14ac:dyDescent="0.2">
      <c r="B18" s="228" t="s">
        <v>321</v>
      </c>
      <c r="C18" s="151">
        <f>Inputs!N13</f>
        <v>38302</v>
      </c>
      <c r="D18" s="154">
        <v>7</v>
      </c>
      <c r="E18" s="151">
        <f t="shared" si="0"/>
        <v>268114</v>
      </c>
      <c r="F18" s="151">
        <v>0</v>
      </c>
      <c r="G18" s="154">
        <v>7</v>
      </c>
      <c r="H18" s="151" t="s">
        <v>58</v>
      </c>
    </row>
    <row r="19" spans="2:8" s="222" customFormat="1" x14ac:dyDescent="0.2">
      <c r="B19" s="218" t="s">
        <v>31</v>
      </c>
      <c r="C19" s="219"/>
      <c r="D19" s="220"/>
      <c r="E19" s="219">
        <f>SUM(E5:E18)</f>
        <v>387330588</v>
      </c>
      <c r="F19" s="219"/>
      <c r="G19" s="221"/>
      <c r="H19" s="219">
        <f>SUM(H5:H18)</f>
        <v>138815595</v>
      </c>
    </row>
    <row r="20" spans="2:8" x14ac:dyDescent="0.2">
      <c r="B20" s="152" t="s">
        <v>314</v>
      </c>
    </row>
    <row r="21" spans="2:8" x14ac:dyDescent="0.2">
      <c r="B21" s="152" t="s">
        <v>322</v>
      </c>
    </row>
    <row r="22" spans="2:8" x14ac:dyDescent="0.2">
      <c r="B22" s="152" t="s">
        <v>323</v>
      </c>
    </row>
    <row r="23" spans="2:8" x14ac:dyDescent="0.2">
      <c r="B23" s="152" t="s">
        <v>324</v>
      </c>
    </row>
    <row r="24" spans="2:8" x14ac:dyDescent="0.2">
      <c r="B24" s="152" t="s">
        <v>325</v>
      </c>
    </row>
    <row r="26" spans="2:8" ht="13.5" thickBot="1" x14ac:dyDescent="0.25"/>
    <row r="27" spans="2:8" ht="14.45" customHeight="1" thickBot="1" x14ac:dyDescent="0.25">
      <c r="B27" s="286" t="s">
        <v>144</v>
      </c>
      <c r="C27" s="287"/>
      <c r="D27" s="287"/>
      <c r="E27" s="287"/>
      <c r="F27" s="288"/>
    </row>
    <row r="28" spans="2:8" x14ac:dyDescent="0.2">
      <c r="B28" s="267" t="s">
        <v>4</v>
      </c>
      <c r="C28" s="268" t="s">
        <v>5</v>
      </c>
      <c r="D28" s="268" t="s">
        <v>6</v>
      </c>
      <c r="E28" s="268" t="s">
        <v>7</v>
      </c>
      <c r="F28" s="268" t="s">
        <v>8</v>
      </c>
    </row>
    <row r="29" spans="2:8" ht="66" customHeight="1" x14ac:dyDescent="0.2">
      <c r="B29" s="290" t="s">
        <v>142</v>
      </c>
      <c r="C29" s="290" t="s">
        <v>100</v>
      </c>
      <c r="D29" s="290" t="s">
        <v>78</v>
      </c>
      <c r="E29" s="290" t="s">
        <v>143</v>
      </c>
      <c r="F29" s="269" t="s">
        <v>290</v>
      </c>
    </row>
    <row r="30" spans="2:8" ht="13.5" thickBot="1" x14ac:dyDescent="0.25">
      <c r="B30" s="291"/>
      <c r="C30" s="291"/>
      <c r="D30" s="291"/>
      <c r="E30" s="291"/>
      <c r="F30" s="270" t="s">
        <v>291</v>
      </c>
    </row>
    <row r="31" spans="2:8" ht="13.9" customHeight="1" thickBot="1" x14ac:dyDescent="0.25">
      <c r="B31" s="280" t="s">
        <v>292</v>
      </c>
      <c r="C31" s="281"/>
      <c r="D31" s="281"/>
      <c r="E31" s="281"/>
      <c r="F31" s="282"/>
    </row>
    <row r="32" spans="2:8" ht="13.5" thickBot="1" x14ac:dyDescent="0.25">
      <c r="B32" s="271" t="s">
        <v>159</v>
      </c>
      <c r="C32" s="270">
        <v>209</v>
      </c>
      <c r="D32" s="270">
        <v>1</v>
      </c>
      <c r="E32" s="270">
        <v>0</v>
      </c>
      <c r="F32" s="270">
        <f>C32*D32+E32</f>
        <v>209</v>
      </c>
    </row>
    <row r="33" spans="2:6" ht="13.5" thickBot="1" x14ac:dyDescent="0.25">
      <c r="B33" s="271" t="s">
        <v>160</v>
      </c>
      <c r="C33" s="270">
        <v>209</v>
      </c>
      <c r="D33" s="270">
        <v>1</v>
      </c>
      <c r="E33" s="270">
        <v>0</v>
      </c>
      <c r="F33" s="270">
        <f t="shared" ref="F33:F55" si="2">C33*D33+E33</f>
        <v>209</v>
      </c>
    </row>
    <row r="34" spans="2:6" ht="13.5" thickBot="1" x14ac:dyDescent="0.25">
      <c r="B34" s="271" t="s">
        <v>293</v>
      </c>
      <c r="C34" s="270">
        <v>209</v>
      </c>
      <c r="D34" s="270">
        <v>1</v>
      </c>
      <c r="E34" s="270">
        <v>0</v>
      </c>
      <c r="F34" s="270">
        <f t="shared" si="2"/>
        <v>209</v>
      </c>
    </row>
    <row r="35" spans="2:6" ht="13.5" thickBot="1" x14ac:dyDescent="0.25">
      <c r="B35" s="271" t="s">
        <v>294</v>
      </c>
      <c r="C35" s="270">
        <v>209</v>
      </c>
      <c r="D35" s="270">
        <v>1</v>
      </c>
      <c r="E35" s="270">
        <v>0</v>
      </c>
      <c r="F35" s="270">
        <f t="shared" si="2"/>
        <v>209</v>
      </c>
    </row>
    <row r="36" spans="2:6" ht="13.5" thickBot="1" x14ac:dyDescent="0.25">
      <c r="B36" s="271" t="s">
        <v>295</v>
      </c>
      <c r="C36" s="270">
        <v>2</v>
      </c>
      <c r="D36" s="270">
        <v>1</v>
      </c>
      <c r="E36" s="270">
        <v>0</v>
      </c>
      <c r="F36" s="270">
        <f t="shared" si="2"/>
        <v>2</v>
      </c>
    </row>
    <row r="37" spans="2:6" ht="26.25" thickBot="1" x14ac:dyDescent="0.25">
      <c r="B37" s="271" t="s">
        <v>296</v>
      </c>
      <c r="C37" s="270">
        <v>17</v>
      </c>
      <c r="D37" s="270">
        <v>1</v>
      </c>
      <c r="E37" s="270">
        <v>0</v>
      </c>
      <c r="F37" s="270">
        <f t="shared" si="2"/>
        <v>17</v>
      </c>
    </row>
    <row r="38" spans="2:6" ht="26.25" thickBot="1" x14ac:dyDescent="0.25">
      <c r="B38" s="271" t="s">
        <v>167</v>
      </c>
      <c r="C38" s="270">
        <v>7</v>
      </c>
      <c r="D38" s="270">
        <v>1</v>
      </c>
      <c r="E38" s="270">
        <v>0</v>
      </c>
      <c r="F38" s="270">
        <f t="shared" si="2"/>
        <v>7</v>
      </c>
    </row>
    <row r="39" spans="2:6" ht="13.5" thickBot="1" x14ac:dyDescent="0.25">
      <c r="B39" s="271" t="s">
        <v>166</v>
      </c>
      <c r="C39" s="270">
        <v>17</v>
      </c>
      <c r="D39" s="270">
        <v>1</v>
      </c>
      <c r="E39" s="270">
        <v>0</v>
      </c>
      <c r="F39" s="270">
        <f t="shared" si="2"/>
        <v>17</v>
      </c>
    </row>
    <row r="40" spans="2:6" ht="13.9" customHeight="1" thickBot="1" x14ac:dyDescent="0.25">
      <c r="B40" s="280" t="s">
        <v>145</v>
      </c>
      <c r="C40" s="281"/>
      <c r="D40" s="281"/>
      <c r="E40" s="281"/>
      <c r="F40" s="282"/>
    </row>
    <row r="41" spans="2:6" ht="13.5" thickBot="1" x14ac:dyDescent="0.25">
      <c r="B41" s="271" t="s">
        <v>159</v>
      </c>
      <c r="C41" s="272">
        <v>209</v>
      </c>
      <c r="D41" s="270">
        <v>2</v>
      </c>
      <c r="E41" s="270">
        <v>0</v>
      </c>
      <c r="F41" s="270">
        <f t="shared" si="2"/>
        <v>418</v>
      </c>
    </row>
    <row r="42" spans="2:6" ht="13.5" thickBot="1" x14ac:dyDescent="0.25">
      <c r="B42" s="271" t="s">
        <v>160</v>
      </c>
      <c r="C42" s="272">
        <v>209</v>
      </c>
      <c r="D42" s="270">
        <v>2</v>
      </c>
      <c r="E42" s="270">
        <v>0</v>
      </c>
      <c r="F42" s="270">
        <f t="shared" si="2"/>
        <v>418</v>
      </c>
    </row>
    <row r="43" spans="2:6" ht="13.5" thickBot="1" x14ac:dyDescent="0.25">
      <c r="B43" s="271" t="s">
        <v>161</v>
      </c>
      <c r="C43" s="272">
        <v>209</v>
      </c>
      <c r="D43" s="270">
        <v>2</v>
      </c>
      <c r="E43" s="270">
        <v>0</v>
      </c>
      <c r="F43" s="270">
        <f t="shared" si="2"/>
        <v>418</v>
      </c>
    </row>
    <row r="44" spans="2:6" ht="13.5" thickBot="1" x14ac:dyDescent="0.25">
      <c r="B44" s="271" t="s">
        <v>162</v>
      </c>
      <c r="C44" s="272">
        <v>0</v>
      </c>
      <c r="D44" s="270">
        <v>2</v>
      </c>
      <c r="E44" s="270">
        <v>0</v>
      </c>
      <c r="F44" s="270">
        <f t="shared" si="2"/>
        <v>0</v>
      </c>
    </row>
    <row r="45" spans="2:6" ht="13.5" thickBot="1" x14ac:dyDescent="0.25">
      <c r="B45" s="271" t="s">
        <v>163</v>
      </c>
      <c r="C45" s="272">
        <v>209</v>
      </c>
      <c r="D45" s="270">
        <v>2</v>
      </c>
      <c r="E45" s="270">
        <v>0</v>
      </c>
      <c r="F45" s="270">
        <f t="shared" si="2"/>
        <v>418</v>
      </c>
    </row>
    <row r="46" spans="2:6" ht="26.25" thickBot="1" x14ac:dyDescent="0.25">
      <c r="B46" s="271" t="s">
        <v>297</v>
      </c>
      <c r="C46" s="272">
        <v>209</v>
      </c>
      <c r="D46" s="270">
        <v>2</v>
      </c>
      <c r="E46" s="270">
        <v>0</v>
      </c>
      <c r="F46" s="270">
        <f t="shared" si="2"/>
        <v>418</v>
      </c>
    </row>
    <row r="47" spans="2:6" ht="13.5" thickBot="1" x14ac:dyDescent="0.25">
      <c r="B47" s="271" t="s">
        <v>295</v>
      </c>
      <c r="C47" s="272">
        <v>2</v>
      </c>
      <c r="D47" s="270">
        <v>2</v>
      </c>
      <c r="E47" s="270">
        <v>0</v>
      </c>
      <c r="F47" s="270">
        <f t="shared" si="2"/>
        <v>4</v>
      </c>
    </row>
    <row r="48" spans="2:6" ht="13.5" thickBot="1" x14ac:dyDescent="0.25">
      <c r="B48" s="271" t="s">
        <v>298</v>
      </c>
      <c r="C48" s="272">
        <v>209</v>
      </c>
      <c r="D48" s="270">
        <v>2</v>
      </c>
      <c r="E48" s="270">
        <v>0</v>
      </c>
      <c r="F48" s="270">
        <f t="shared" si="2"/>
        <v>418</v>
      </c>
    </row>
    <row r="49" spans="2:6" ht="26.25" thickBot="1" x14ac:dyDescent="0.25">
      <c r="B49" s="271" t="s">
        <v>296</v>
      </c>
      <c r="C49" s="272">
        <v>17</v>
      </c>
      <c r="D49" s="270">
        <v>2</v>
      </c>
      <c r="E49" s="270">
        <v>0</v>
      </c>
      <c r="F49" s="270">
        <f t="shared" si="2"/>
        <v>34</v>
      </c>
    </row>
    <row r="50" spans="2:6" ht="26.25" thickBot="1" x14ac:dyDescent="0.25">
      <c r="B50" s="271" t="s">
        <v>167</v>
      </c>
      <c r="C50" s="272">
        <v>7</v>
      </c>
      <c r="D50" s="270">
        <v>2</v>
      </c>
      <c r="E50" s="270">
        <v>0</v>
      </c>
      <c r="F50" s="270">
        <f t="shared" si="2"/>
        <v>14</v>
      </c>
    </row>
    <row r="51" spans="2:6" ht="13.5" thickBot="1" x14ac:dyDescent="0.25">
      <c r="B51" s="271" t="s">
        <v>166</v>
      </c>
      <c r="C51" s="272">
        <v>17</v>
      </c>
      <c r="D51" s="270">
        <v>2</v>
      </c>
      <c r="E51" s="270">
        <v>0</v>
      </c>
      <c r="F51" s="270">
        <f t="shared" si="2"/>
        <v>34</v>
      </c>
    </row>
    <row r="52" spans="2:6" ht="13.5" thickBot="1" x14ac:dyDescent="0.25">
      <c r="B52" s="283" t="s">
        <v>190</v>
      </c>
      <c r="C52" s="284"/>
      <c r="D52" s="284"/>
      <c r="E52" s="284"/>
      <c r="F52" s="285"/>
    </row>
    <row r="53" spans="2:6" ht="13.5" thickBot="1" x14ac:dyDescent="0.25">
      <c r="B53" s="271" t="s">
        <v>299</v>
      </c>
      <c r="C53" s="272">
        <v>126</v>
      </c>
      <c r="D53" s="270">
        <v>1</v>
      </c>
      <c r="E53" s="270">
        <v>0</v>
      </c>
      <c r="F53" s="270">
        <f t="shared" si="2"/>
        <v>126</v>
      </c>
    </row>
    <row r="54" spans="2:6" ht="13.5" thickBot="1" x14ac:dyDescent="0.25">
      <c r="B54" s="271" t="s">
        <v>300</v>
      </c>
      <c r="C54" s="272">
        <v>126</v>
      </c>
      <c r="D54" s="270">
        <v>1</v>
      </c>
      <c r="E54" s="270">
        <v>0</v>
      </c>
      <c r="F54" s="270">
        <f t="shared" si="2"/>
        <v>126</v>
      </c>
    </row>
    <row r="55" spans="2:6" ht="13.5" thickBot="1" x14ac:dyDescent="0.25">
      <c r="B55" s="271" t="s">
        <v>301</v>
      </c>
      <c r="C55" s="272">
        <v>126</v>
      </c>
      <c r="D55" s="270">
        <v>4</v>
      </c>
      <c r="E55" s="270">
        <v>0</v>
      </c>
      <c r="F55" s="270">
        <f t="shared" si="2"/>
        <v>504</v>
      </c>
    </row>
    <row r="56" spans="2:6" ht="13.5" thickBot="1" x14ac:dyDescent="0.25">
      <c r="B56" s="273" t="s">
        <v>31</v>
      </c>
      <c r="C56" s="274"/>
      <c r="D56" s="274"/>
      <c r="E56" s="275"/>
      <c r="F56" s="276">
        <f>SUM(F32:F39,F41:F51,F53:F55)</f>
        <v>4229</v>
      </c>
    </row>
  </sheetData>
  <sheetProtection algorithmName="SHA-512" hashValue="cFDVXRDgXp2QWaLWLkDjXcgvplSIz0icvJQXwYAUfSQs/WYhz5LtDn/wec0DYm4xdxQYV4CQ1NvUvJHfvIIpIg==" saltValue="drcM3RPj1qy9jVhma2cqfQ==" spinCount="100000" sheet="1" objects="1" scenarios="1"/>
  <mergeCells count="9">
    <mergeCell ref="B40:F40"/>
    <mergeCell ref="B52:F52"/>
    <mergeCell ref="B27:F27"/>
    <mergeCell ref="B2:H2"/>
    <mergeCell ref="B29:B30"/>
    <mergeCell ref="C29:C30"/>
    <mergeCell ref="D29:D30"/>
    <mergeCell ref="E29:E30"/>
    <mergeCell ref="B31:F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F9ED-2701-4D83-B488-86B94FB781FE}">
  <sheetPr>
    <tabColor rgb="FF7030A0"/>
  </sheetPr>
  <dimension ref="B2:O125"/>
  <sheetViews>
    <sheetView zoomScaleNormal="100" zoomScaleSheetLayoutView="80" workbookViewId="0">
      <pane ySplit="3" topLeftCell="A92" activePane="bottomLeft" state="frozen"/>
      <selection activeCell="Q53" sqref="Q53"/>
      <selection pane="bottomLeft" activeCell="B2" sqref="B2:M2"/>
    </sheetView>
  </sheetViews>
  <sheetFormatPr defaultColWidth="9.140625" defaultRowHeight="11.25" x14ac:dyDescent="0.2"/>
  <cols>
    <col min="1" max="1" width="2.140625" style="16" customWidth="1"/>
    <col min="2" max="2" width="32.5703125" style="16" customWidth="1"/>
    <col min="3" max="4" width="9.28515625" style="16" bestFit="1" customWidth="1"/>
    <col min="5" max="5" width="10.140625" style="16" bestFit="1" customWidth="1"/>
    <col min="6" max="6" width="9.7109375" style="16" customWidth="1"/>
    <col min="7" max="7" width="10.140625" style="16" bestFit="1" customWidth="1"/>
    <col min="8" max="8" width="7.85546875" style="16" bestFit="1" customWidth="1"/>
    <col min="9" max="9" width="8.85546875" style="16" bestFit="1" customWidth="1"/>
    <col min="10" max="10" width="9.7109375" style="16" bestFit="1" customWidth="1"/>
    <col min="11" max="11" width="8.85546875" style="16" bestFit="1" customWidth="1"/>
    <col min="12" max="12" width="9.5703125" style="16" bestFit="1" customWidth="1"/>
    <col min="13" max="13" width="9.42578125" style="16" bestFit="1" customWidth="1"/>
    <col min="14" max="14" width="2.5703125" style="16" customWidth="1"/>
    <col min="15" max="15" width="29.140625" style="92" customWidth="1"/>
    <col min="16" max="16384" width="9.140625" style="16"/>
  </cols>
  <sheetData>
    <row r="2" spans="2:13" ht="15.75" x14ac:dyDescent="0.2">
      <c r="B2" s="293" t="s">
        <v>282</v>
      </c>
      <c r="C2" s="293"/>
      <c r="D2" s="293"/>
      <c r="E2" s="293"/>
      <c r="F2" s="293"/>
      <c r="G2" s="293"/>
      <c r="H2" s="293"/>
      <c r="I2" s="293"/>
      <c r="J2" s="293"/>
      <c r="K2" s="293"/>
      <c r="L2" s="293"/>
      <c r="M2" s="293"/>
    </row>
    <row r="3" spans="2:13" s="19" customFormat="1" ht="69.75" customHeight="1" x14ac:dyDescent="0.2">
      <c r="B3" s="144" t="s">
        <v>2</v>
      </c>
      <c r="C3" s="144" t="s">
        <v>3</v>
      </c>
      <c r="D3" s="144" t="s">
        <v>75</v>
      </c>
      <c r="E3" s="144" t="s">
        <v>82</v>
      </c>
      <c r="F3" s="144" t="s">
        <v>99</v>
      </c>
      <c r="G3" s="162" t="s">
        <v>244</v>
      </c>
      <c r="H3" s="163" t="s">
        <v>90</v>
      </c>
      <c r="I3" s="163" t="s">
        <v>84</v>
      </c>
      <c r="J3" s="163" t="s">
        <v>85</v>
      </c>
      <c r="K3" s="163" t="s">
        <v>104</v>
      </c>
      <c r="L3" s="144" t="s">
        <v>245</v>
      </c>
      <c r="M3" s="163" t="s">
        <v>106</v>
      </c>
    </row>
    <row r="4" spans="2:13" ht="10.5" customHeight="1" x14ac:dyDescent="0.2">
      <c r="B4" s="164" t="s">
        <v>57</v>
      </c>
      <c r="C4" s="144" t="s">
        <v>58</v>
      </c>
      <c r="D4" s="20"/>
      <c r="E4" s="20"/>
      <c r="F4" s="20"/>
      <c r="G4" s="20"/>
      <c r="H4" s="20"/>
      <c r="I4" s="20"/>
      <c r="J4" s="20"/>
      <c r="K4" s="20"/>
      <c r="L4" s="20"/>
      <c r="M4" s="20"/>
    </row>
    <row r="5" spans="2:13" ht="10.5" customHeight="1" x14ac:dyDescent="0.2">
      <c r="B5" s="164" t="s">
        <v>59</v>
      </c>
      <c r="C5" s="144" t="s">
        <v>58</v>
      </c>
      <c r="D5" s="20"/>
      <c r="E5" s="20"/>
      <c r="F5" s="20"/>
      <c r="G5" s="20"/>
      <c r="H5" s="20"/>
      <c r="I5" s="20"/>
      <c r="J5" s="20"/>
      <c r="K5" s="20"/>
      <c r="L5" s="20"/>
      <c r="M5" s="20"/>
    </row>
    <row r="6" spans="2:13" ht="10.5" customHeight="1" x14ac:dyDescent="0.2">
      <c r="B6" s="164" t="s">
        <v>60</v>
      </c>
      <c r="C6" s="144"/>
      <c r="D6" s="20"/>
      <c r="E6" s="20"/>
      <c r="F6" s="20"/>
      <c r="G6" s="20"/>
      <c r="H6" s="20"/>
      <c r="I6" s="20"/>
      <c r="J6" s="20"/>
      <c r="K6" s="20"/>
      <c r="L6" s="20"/>
      <c r="M6" s="20"/>
    </row>
    <row r="7" spans="2:13" x14ac:dyDescent="0.2">
      <c r="B7" s="165" t="s">
        <v>246</v>
      </c>
      <c r="C7" s="20">
        <v>24</v>
      </c>
      <c r="D7" s="102">
        <v>0</v>
      </c>
      <c r="E7" s="20">
        <v>1</v>
      </c>
      <c r="F7" s="145">
        <f>C7*E7</f>
        <v>24</v>
      </c>
      <c r="G7" s="265">
        <v>207.66</v>
      </c>
      <c r="H7" s="145">
        <f>G7*F7</f>
        <v>4983.84</v>
      </c>
      <c r="I7" s="145">
        <f>H7*0.1</f>
        <v>498.38400000000001</v>
      </c>
      <c r="J7" s="145">
        <f>H7*0.05</f>
        <v>249.19200000000001</v>
      </c>
      <c r="K7" s="145">
        <f>SUM(H7:J7)</f>
        <v>5731.4160000000002</v>
      </c>
      <c r="L7" s="102">
        <f>ROUND(H7*Inputs!$G$82+I7*Inputs!$G$84+J7*Inputs!$G$83,0)</f>
        <v>567281</v>
      </c>
      <c r="M7" s="102">
        <f>D7*E7*G7</f>
        <v>0</v>
      </c>
    </row>
    <row r="8" spans="2:13" x14ac:dyDescent="0.2">
      <c r="B8" s="165" t="s">
        <v>61</v>
      </c>
      <c r="C8" s="20"/>
      <c r="D8" s="102"/>
      <c r="E8" s="20"/>
      <c r="F8" s="145"/>
      <c r="G8" s="145"/>
      <c r="H8" s="145"/>
      <c r="I8" s="145"/>
      <c r="J8" s="145"/>
      <c r="K8" s="145"/>
      <c r="L8" s="102"/>
      <c r="M8" s="102"/>
    </row>
    <row r="9" spans="2:13" x14ac:dyDescent="0.2">
      <c r="B9" s="168" t="s">
        <v>247</v>
      </c>
      <c r="C9" s="20"/>
      <c r="D9" s="102"/>
      <c r="E9" s="20"/>
      <c r="F9" s="145"/>
      <c r="G9" s="145"/>
      <c r="H9" s="145"/>
      <c r="I9" s="145"/>
      <c r="J9" s="145"/>
      <c r="K9" s="145"/>
      <c r="L9" s="102"/>
      <c r="M9" s="102"/>
    </row>
    <row r="10" spans="2:13" x14ac:dyDescent="0.2">
      <c r="B10" s="167" t="s">
        <v>93</v>
      </c>
      <c r="C10" s="20">
        <v>0</v>
      </c>
      <c r="D10" s="102">
        <f>Inputs!F21</f>
        <v>1560881</v>
      </c>
      <c r="E10" s="20">
        <v>1</v>
      </c>
      <c r="F10" s="145">
        <f>C10*E10</f>
        <v>0</v>
      </c>
      <c r="G10" s="265">
        <v>0.66</v>
      </c>
      <c r="H10" s="145">
        <f>G10*F10</f>
        <v>0</v>
      </c>
      <c r="I10" s="145">
        <f>H10*0.1</f>
        <v>0</v>
      </c>
      <c r="J10" s="145">
        <f>H10*0.05</f>
        <v>0</v>
      </c>
      <c r="K10" s="145">
        <f>SUM(H10:J10)</f>
        <v>0</v>
      </c>
      <c r="L10" s="102">
        <f>ROUND(H10*Inputs!$G$82+I10*Inputs!$G$84+J10*Inputs!$G$83,0)</f>
        <v>0</v>
      </c>
      <c r="M10" s="102">
        <f>D10*E10*G10</f>
        <v>1030181.4600000001</v>
      </c>
    </row>
    <row r="11" spans="2:13" x14ac:dyDescent="0.2">
      <c r="B11" s="167" t="s">
        <v>94</v>
      </c>
      <c r="C11" s="20">
        <v>0</v>
      </c>
      <c r="D11" s="102">
        <f>Inputs!G21</f>
        <v>296308</v>
      </c>
      <c r="E11" s="20">
        <v>1</v>
      </c>
      <c r="F11" s="145">
        <f>C11*E11</f>
        <v>0</v>
      </c>
      <c r="G11" s="265">
        <v>0.66</v>
      </c>
      <c r="H11" s="145">
        <f>G11*F11</f>
        <v>0</v>
      </c>
      <c r="I11" s="145">
        <f>H11*0.1</f>
        <v>0</v>
      </c>
      <c r="J11" s="145">
        <f>H11*0.05</f>
        <v>0</v>
      </c>
      <c r="K11" s="145">
        <f>SUM(H11:J11)</f>
        <v>0</v>
      </c>
      <c r="L11" s="102">
        <f>ROUND(H11*Inputs!$G$82+I11*Inputs!$G$84+J11*Inputs!$G$83,0)</f>
        <v>0</v>
      </c>
      <c r="M11" s="102">
        <f>D11*E11*G11</f>
        <v>195563.28</v>
      </c>
    </row>
    <row r="12" spans="2:13" x14ac:dyDescent="0.2">
      <c r="B12" s="168" t="s">
        <v>149</v>
      </c>
      <c r="C12" s="20"/>
      <c r="D12" s="102"/>
      <c r="E12" s="20"/>
      <c r="F12" s="145"/>
      <c r="G12" s="265"/>
      <c r="H12" s="145"/>
      <c r="I12" s="145"/>
      <c r="J12" s="145"/>
      <c r="K12" s="145"/>
      <c r="L12" s="102"/>
      <c r="M12" s="102"/>
    </row>
    <row r="13" spans="2:13" x14ac:dyDescent="0.2">
      <c r="B13" s="167" t="s">
        <v>93</v>
      </c>
      <c r="C13" s="20">
        <v>0</v>
      </c>
      <c r="D13" s="102">
        <f>Inputs!C31</f>
        <v>81353</v>
      </c>
      <c r="E13" s="20">
        <v>1</v>
      </c>
      <c r="F13" s="145">
        <f>C13*E13</f>
        <v>0</v>
      </c>
      <c r="G13" s="265">
        <v>0.66</v>
      </c>
      <c r="H13" s="145">
        <f>G13*F13</f>
        <v>0</v>
      </c>
      <c r="I13" s="145">
        <f>H13*0.1</f>
        <v>0</v>
      </c>
      <c r="J13" s="145">
        <f>H13*0.05</f>
        <v>0</v>
      </c>
      <c r="K13" s="145">
        <f>SUM(H13:J13)</f>
        <v>0</v>
      </c>
      <c r="L13" s="102">
        <f>ROUND(H13*Inputs!$G$82+I13*Inputs!$G$84+J13*Inputs!$G$83,0)</f>
        <v>0</v>
      </c>
      <c r="M13" s="102">
        <f>D13*E13*G13</f>
        <v>53692.98</v>
      </c>
    </row>
    <row r="14" spans="2:13" x14ac:dyDescent="0.2">
      <c r="B14" s="167" t="s">
        <v>94</v>
      </c>
      <c r="C14" s="20">
        <v>0</v>
      </c>
      <c r="D14" s="102">
        <f>Inputs!D31</f>
        <v>36101</v>
      </c>
      <c r="E14" s="20">
        <v>1</v>
      </c>
      <c r="F14" s="145">
        <f>C14*E14</f>
        <v>0</v>
      </c>
      <c r="G14" s="265">
        <v>0.66</v>
      </c>
      <c r="H14" s="145">
        <f>G14*F14</f>
        <v>0</v>
      </c>
      <c r="I14" s="145">
        <f>H14*0.1</f>
        <v>0</v>
      </c>
      <c r="J14" s="145">
        <f>H14*0.05</f>
        <v>0</v>
      </c>
      <c r="K14" s="145">
        <f>SUM(H14:J14)</f>
        <v>0</v>
      </c>
      <c r="L14" s="102">
        <f>ROUND(H14*Inputs!$G$82+I14*Inputs!$G$84+J14*Inputs!$G$83,0)</f>
        <v>0</v>
      </c>
      <c r="M14" s="102">
        <f>D14*E14*G14</f>
        <v>23826.66</v>
      </c>
    </row>
    <row r="15" spans="2:13" x14ac:dyDescent="0.2">
      <c r="B15" s="168" t="s">
        <v>150</v>
      </c>
      <c r="C15" s="20"/>
      <c r="D15" s="102"/>
      <c r="E15" s="20"/>
      <c r="F15" s="145"/>
      <c r="G15" s="265"/>
      <c r="H15" s="145"/>
      <c r="I15" s="145"/>
      <c r="J15" s="145"/>
      <c r="K15" s="145"/>
      <c r="L15" s="102"/>
      <c r="M15" s="102"/>
    </row>
    <row r="16" spans="2:13" x14ac:dyDescent="0.2">
      <c r="B16" s="167" t="s">
        <v>93</v>
      </c>
      <c r="C16" s="20">
        <v>0</v>
      </c>
      <c r="D16" s="102">
        <f>Inputs!C37</f>
        <v>3720</v>
      </c>
      <c r="E16" s="20">
        <v>1</v>
      </c>
      <c r="F16" s="145">
        <f>C16*E16</f>
        <v>0</v>
      </c>
      <c r="G16" s="265">
        <v>0.66</v>
      </c>
      <c r="H16" s="145">
        <f>G16*F16</f>
        <v>0</v>
      </c>
      <c r="I16" s="145">
        <f>H16*0.1</f>
        <v>0</v>
      </c>
      <c r="J16" s="145">
        <f>H16*0.05</f>
        <v>0</v>
      </c>
      <c r="K16" s="145">
        <f>SUM(H16:J16)</f>
        <v>0</v>
      </c>
      <c r="L16" s="102">
        <f>ROUND(H16*Inputs!$G$82+I16*Inputs!$G$84+J16*Inputs!$G$83,0)</f>
        <v>0</v>
      </c>
      <c r="M16" s="102">
        <f>D16*E16*G16</f>
        <v>2455.2000000000003</v>
      </c>
    </row>
    <row r="17" spans="2:13" x14ac:dyDescent="0.2">
      <c r="B17" s="167" t="s">
        <v>94</v>
      </c>
      <c r="C17" s="20">
        <v>0</v>
      </c>
      <c r="D17" s="102">
        <f>Inputs!D37</f>
        <v>1102</v>
      </c>
      <c r="E17" s="20">
        <v>1</v>
      </c>
      <c r="F17" s="145">
        <f>C17*E17</f>
        <v>0</v>
      </c>
      <c r="G17" s="265">
        <v>0.66</v>
      </c>
      <c r="H17" s="145">
        <f>G17*F17</f>
        <v>0</v>
      </c>
      <c r="I17" s="145">
        <f>H17*0.1</f>
        <v>0</v>
      </c>
      <c r="J17" s="145">
        <f>H17*0.05</f>
        <v>0</v>
      </c>
      <c r="K17" s="145">
        <f>SUM(H17:J17)</f>
        <v>0</v>
      </c>
      <c r="L17" s="102">
        <f>ROUND(H17*Inputs!$G$82+I17*Inputs!$G$84+J17*Inputs!$G$83,0)</f>
        <v>0</v>
      </c>
      <c r="M17" s="102">
        <f>D17*E17*G17</f>
        <v>727.32</v>
      </c>
    </row>
    <row r="18" spans="2:13" ht="22.5" x14ac:dyDescent="0.2">
      <c r="B18" s="166" t="s">
        <v>248</v>
      </c>
      <c r="C18" s="20"/>
      <c r="D18" s="102"/>
      <c r="E18" s="20"/>
      <c r="F18" s="145"/>
      <c r="G18" s="265"/>
      <c r="H18" s="145"/>
      <c r="I18" s="145"/>
      <c r="J18" s="145"/>
      <c r="K18" s="145"/>
      <c r="L18" s="102"/>
      <c r="M18" s="102"/>
    </row>
    <row r="19" spans="2:13" x14ac:dyDescent="0.2">
      <c r="B19" s="167" t="s">
        <v>93</v>
      </c>
      <c r="C19" s="20">
        <v>0</v>
      </c>
      <c r="D19" s="102">
        <f>Inputs!C43</f>
        <v>16250</v>
      </c>
      <c r="E19" s="20">
        <v>1</v>
      </c>
      <c r="F19" s="145">
        <f>C19*E19</f>
        <v>0</v>
      </c>
      <c r="G19" s="265">
        <v>0.66</v>
      </c>
      <c r="H19" s="145">
        <f>G19*F19</f>
        <v>0</v>
      </c>
      <c r="I19" s="145">
        <f>H19*0.1</f>
        <v>0</v>
      </c>
      <c r="J19" s="145">
        <f>H19*0.05</f>
        <v>0</v>
      </c>
      <c r="K19" s="145">
        <f>SUM(H19:J19)</f>
        <v>0</v>
      </c>
      <c r="L19" s="102">
        <f>ROUND(H19*Inputs!$G$82+I19*Inputs!$G$84+J19*Inputs!$G$83,0)</f>
        <v>0</v>
      </c>
      <c r="M19" s="102">
        <f>D19*E19*G19</f>
        <v>10725</v>
      </c>
    </row>
    <row r="20" spans="2:13" x14ac:dyDescent="0.2">
      <c r="B20" s="167" t="s">
        <v>94</v>
      </c>
      <c r="C20" s="20">
        <v>0</v>
      </c>
      <c r="D20" s="102">
        <f>Inputs!D43</f>
        <v>1750</v>
      </c>
      <c r="E20" s="20">
        <v>1</v>
      </c>
      <c r="F20" s="145">
        <f>C20*E20</f>
        <v>0</v>
      </c>
      <c r="G20" s="265">
        <v>0.66</v>
      </c>
      <c r="H20" s="145">
        <f>G20*F20</f>
        <v>0</v>
      </c>
      <c r="I20" s="145">
        <f>H20*0.1</f>
        <v>0</v>
      </c>
      <c r="J20" s="145">
        <f>H20*0.05</f>
        <v>0</v>
      </c>
      <c r="K20" s="145">
        <f>SUM(H20:J20)</f>
        <v>0</v>
      </c>
      <c r="L20" s="102">
        <f>ROUND(H20*Inputs!$G$82+I20*Inputs!$G$84+J20*Inputs!$G$83,0)</f>
        <v>0</v>
      </c>
      <c r="M20" s="102">
        <f>D20*E20*G20</f>
        <v>1155</v>
      </c>
    </row>
    <row r="21" spans="2:13" x14ac:dyDescent="0.2">
      <c r="B21" s="166" t="s">
        <v>201</v>
      </c>
      <c r="C21" s="20"/>
      <c r="D21" s="102"/>
      <c r="E21" s="20"/>
      <c r="F21" s="145"/>
      <c r="G21" s="265"/>
      <c r="H21" s="145"/>
      <c r="I21" s="145"/>
      <c r="J21" s="145"/>
      <c r="K21" s="145"/>
      <c r="L21" s="102"/>
      <c r="M21" s="102"/>
    </row>
    <row r="22" spans="2:13" x14ac:dyDescent="0.2">
      <c r="B22" s="167" t="s">
        <v>93</v>
      </c>
      <c r="C22" s="20">
        <v>0</v>
      </c>
      <c r="D22" s="102">
        <f>Inputs!C49</f>
        <v>372</v>
      </c>
      <c r="E22" s="20">
        <v>1</v>
      </c>
      <c r="F22" s="145">
        <f>C22*E22</f>
        <v>0</v>
      </c>
      <c r="G22" s="265">
        <v>0.66</v>
      </c>
      <c r="H22" s="145">
        <f>G22*F22</f>
        <v>0</v>
      </c>
      <c r="I22" s="145">
        <f>H22*0.1</f>
        <v>0</v>
      </c>
      <c r="J22" s="145">
        <f>H22*0.05</f>
        <v>0</v>
      </c>
      <c r="K22" s="145">
        <f>SUM(H22:J22)</f>
        <v>0</v>
      </c>
      <c r="L22" s="102">
        <f>ROUND(H22*Inputs!$G$82+I22*Inputs!$G$84+J22*Inputs!$G$83,0)</f>
        <v>0</v>
      </c>
      <c r="M22" s="102">
        <f>D22*E22*G22</f>
        <v>245.52</v>
      </c>
    </row>
    <row r="23" spans="2:13" x14ac:dyDescent="0.2">
      <c r="B23" s="167" t="s">
        <v>94</v>
      </c>
      <c r="C23" s="20">
        <v>0</v>
      </c>
      <c r="D23" s="102">
        <f>Inputs!D49</f>
        <v>349</v>
      </c>
      <c r="E23" s="20">
        <v>1</v>
      </c>
      <c r="F23" s="145">
        <f>C23*E23</f>
        <v>0</v>
      </c>
      <c r="G23" s="265">
        <v>0.66</v>
      </c>
      <c r="H23" s="145">
        <f>G23*F23</f>
        <v>0</v>
      </c>
      <c r="I23" s="145">
        <f>H23*0.1</f>
        <v>0</v>
      </c>
      <c r="J23" s="145">
        <f>H23*0.05</f>
        <v>0</v>
      </c>
      <c r="K23" s="145">
        <f>SUM(H23:J23)</f>
        <v>0</v>
      </c>
      <c r="L23" s="102">
        <f>ROUND(H23*Inputs!$G$82+I23*Inputs!$G$84+J23*Inputs!$G$83,0)</f>
        <v>0</v>
      </c>
      <c r="M23" s="102">
        <f>D23*E23*G23</f>
        <v>230.34</v>
      </c>
    </row>
    <row r="24" spans="2:13" ht="22.5" x14ac:dyDescent="0.2">
      <c r="B24" s="166" t="s">
        <v>202</v>
      </c>
      <c r="C24" s="20"/>
      <c r="D24" s="102"/>
      <c r="E24" s="20"/>
      <c r="F24" s="145"/>
      <c r="G24" s="265"/>
      <c r="H24" s="145"/>
      <c r="I24" s="145"/>
      <c r="J24" s="145"/>
      <c r="K24" s="145"/>
      <c r="L24" s="102"/>
      <c r="M24" s="102"/>
    </row>
    <row r="25" spans="2:13" x14ac:dyDescent="0.2">
      <c r="B25" s="167" t="s">
        <v>93</v>
      </c>
      <c r="C25" s="20">
        <v>0</v>
      </c>
      <c r="D25" s="102">
        <f>Inputs!C55</f>
        <v>12619</v>
      </c>
      <c r="E25" s="20">
        <v>1</v>
      </c>
      <c r="F25" s="145">
        <f>C25*E25</f>
        <v>0</v>
      </c>
      <c r="G25" s="265">
        <v>0.66</v>
      </c>
      <c r="H25" s="145">
        <f>G25*F25</f>
        <v>0</v>
      </c>
      <c r="I25" s="145">
        <f>H25*0.1</f>
        <v>0</v>
      </c>
      <c r="J25" s="145">
        <f>H25*0.05</f>
        <v>0</v>
      </c>
      <c r="K25" s="145">
        <f>SUM(H25:J25)</f>
        <v>0</v>
      </c>
      <c r="L25" s="102">
        <f>ROUND(H25*Inputs!$G$82+I25*Inputs!$G$84+J25*Inputs!$G$83,0)</f>
        <v>0</v>
      </c>
      <c r="M25" s="102">
        <f>D25*E25*G25</f>
        <v>8328.5400000000009</v>
      </c>
    </row>
    <row r="26" spans="2:13" x14ac:dyDescent="0.2">
      <c r="B26" s="167" t="s">
        <v>94</v>
      </c>
      <c r="C26" s="20">
        <v>0</v>
      </c>
      <c r="D26" s="102">
        <f>Inputs!D55</f>
        <v>2184</v>
      </c>
      <c r="E26" s="20">
        <v>1</v>
      </c>
      <c r="F26" s="145">
        <f>C26*E26</f>
        <v>0</v>
      </c>
      <c r="G26" s="265">
        <v>0.66</v>
      </c>
      <c r="H26" s="145">
        <f>G26*F26</f>
        <v>0</v>
      </c>
      <c r="I26" s="145">
        <f>H26*0.1</f>
        <v>0</v>
      </c>
      <c r="J26" s="145">
        <f>H26*0.05</f>
        <v>0</v>
      </c>
      <c r="K26" s="145">
        <f>SUM(H26:J26)</f>
        <v>0</v>
      </c>
      <c r="L26" s="102">
        <f>ROUND(H26*Inputs!$G$82+I26*Inputs!$G$84+J26*Inputs!$G$83,0)</f>
        <v>0</v>
      </c>
      <c r="M26" s="102">
        <f>D26*E26*G26</f>
        <v>1441.44</v>
      </c>
    </row>
    <row r="27" spans="2:13" ht="22.5" x14ac:dyDescent="0.2">
      <c r="B27" s="166" t="s">
        <v>249</v>
      </c>
      <c r="C27" s="20"/>
      <c r="D27" s="102"/>
      <c r="E27" s="20"/>
      <c r="F27" s="145"/>
      <c r="G27" s="265"/>
      <c r="H27" s="145"/>
      <c r="I27" s="145"/>
      <c r="J27" s="145"/>
      <c r="K27" s="145"/>
      <c r="L27" s="102"/>
      <c r="M27" s="102"/>
    </row>
    <row r="28" spans="2:13" x14ac:dyDescent="0.2">
      <c r="B28" s="167" t="s">
        <v>93</v>
      </c>
      <c r="C28" s="20">
        <v>0</v>
      </c>
      <c r="D28" s="102">
        <f>Inputs!C61</f>
        <v>560000</v>
      </c>
      <c r="E28" s="20">
        <v>1</v>
      </c>
      <c r="F28" s="145">
        <f>C28*E28</f>
        <v>0</v>
      </c>
      <c r="G28" s="265">
        <v>0.66</v>
      </c>
      <c r="H28" s="145">
        <f>G28*F28</f>
        <v>0</v>
      </c>
      <c r="I28" s="145">
        <f>H28*0.1</f>
        <v>0</v>
      </c>
      <c r="J28" s="145">
        <f>H28*0.05</f>
        <v>0</v>
      </c>
      <c r="K28" s="145">
        <f>SUM(H28:J28)</f>
        <v>0</v>
      </c>
      <c r="L28" s="102">
        <f>ROUND(H28*Inputs!$G$82+I28*Inputs!$G$84+J28*Inputs!$G$83,0)</f>
        <v>0</v>
      </c>
      <c r="M28" s="102">
        <f>D28*E28*G28</f>
        <v>369600</v>
      </c>
    </row>
    <row r="29" spans="2:13" x14ac:dyDescent="0.2">
      <c r="B29" s="167" t="s">
        <v>94</v>
      </c>
      <c r="C29" s="20">
        <v>0</v>
      </c>
      <c r="D29" s="102">
        <f>Inputs!D61</f>
        <v>325000</v>
      </c>
      <c r="E29" s="20">
        <v>1</v>
      </c>
      <c r="F29" s="145">
        <f>C29*E29</f>
        <v>0</v>
      </c>
      <c r="G29" s="265">
        <v>0.66</v>
      </c>
      <c r="H29" s="145">
        <f>G29*F29</f>
        <v>0</v>
      </c>
      <c r="I29" s="145">
        <f>H29*0.1</f>
        <v>0</v>
      </c>
      <c r="J29" s="145">
        <f>H29*0.05</f>
        <v>0</v>
      </c>
      <c r="K29" s="145">
        <f>SUM(H29:J29)</f>
        <v>0</v>
      </c>
      <c r="L29" s="102">
        <f>ROUND(H29*Inputs!$G$82+I29*Inputs!$G$84+J29*Inputs!$G$83,0)</f>
        <v>0</v>
      </c>
      <c r="M29" s="102">
        <f>D29*E29*G29</f>
        <v>214500</v>
      </c>
    </row>
    <row r="30" spans="2:13" x14ac:dyDescent="0.2">
      <c r="B30" s="166" t="s">
        <v>250</v>
      </c>
      <c r="C30" s="20"/>
      <c r="D30" s="102"/>
      <c r="E30" s="20"/>
      <c r="F30" s="145"/>
      <c r="G30" s="265"/>
      <c r="H30" s="145"/>
      <c r="I30" s="145"/>
      <c r="J30" s="145"/>
      <c r="K30" s="145"/>
      <c r="L30" s="102"/>
      <c r="M30" s="102"/>
    </row>
    <row r="31" spans="2:13" x14ac:dyDescent="0.2">
      <c r="B31" s="167" t="s">
        <v>93</v>
      </c>
      <c r="C31" s="20">
        <v>0</v>
      </c>
      <c r="D31" s="102">
        <f>Inputs!C67</f>
        <v>77409</v>
      </c>
      <c r="E31" s="20">
        <v>1</v>
      </c>
      <c r="F31" s="145">
        <f>C31*E31</f>
        <v>0</v>
      </c>
      <c r="G31" s="265">
        <v>0.66</v>
      </c>
      <c r="H31" s="145">
        <f>G31*F31</f>
        <v>0</v>
      </c>
      <c r="I31" s="145">
        <f>H31*0.1</f>
        <v>0</v>
      </c>
      <c r="J31" s="145">
        <f>H31*0.05</f>
        <v>0</v>
      </c>
      <c r="K31" s="145">
        <f>SUM(H31:J31)</f>
        <v>0</v>
      </c>
      <c r="L31" s="102">
        <f>ROUND(H31*Inputs!$G$82+I31*Inputs!$G$84+J31*Inputs!$G$83,0)</f>
        <v>0</v>
      </c>
      <c r="M31" s="102">
        <f>D31*E31*G31</f>
        <v>51089.94</v>
      </c>
    </row>
    <row r="32" spans="2:13" x14ac:dyDescent="0.2">
      <c r="B32" s="167" t="s">
        <v>94</v>
      </c>
      <c r="C32" s="20">
        <v>0</v>
      </c>
      <c r="D32" s="102">
        <f>Inputs!D67</f>
        <v>254405</v>
      </c>
      <c r="E32" s="20">
        <v>1</v>
      </c>
      <c r="F32" s="145">
        <f>C32*E32</f>
        <v>0</v>
      </c>
      <c r="G32" s="265">
        <v>0.66</v>
      </c>
      <c r="H32" s="145">
        <f>G32*F32</f>
        <v>0</v>
      </c>
      <c r="I32" s="145">
        <f>H32*0.1</f>
        <v>0</v>
      </c>
      <c r="J32" s="145">
        <f>H32*0.05</f>
        <v>0</v>
      </c>
      <c r="K32" s="145">
        <f>SUM(H32:J32)</f>
        <v>0</v>
      </c>
      <c r="L32" s="102">
        <f>ROUND(H32*Inputs!$G$82+I32*Inputs!$G$84+J32*Inputs!$G$83,0)</f>
        <v>0</v>
      </c>
      <c r="M32" s="102">
        <f>D32*E32*G32</f>
        <v>167907.30000000002</v>
      </c>
    </row>
    <row r="33" spans="2:15" ht="22.5" x14ac:dyDescent="0.2">
      <c r="B33" s="166" t="s">
        <v>203</v>
      </c>
      <c r="C33" s="20"/>
      <c r="D33" s="102"/>
      <c r="E33" s="20"/>
      <c r="F33" s="145"/>
      <c r="G33" s="265"/>
      <c r="H33" s="145"/>
      <c r="I33" s="145"/>
      <c r="J33" s="145"/>
      <c r="K33" s="145"/>
      <c r="L33" s="102"/>
      <c r="M33" s="102"/>
    </row>
    <row r="34" spans="2:15" x14ac:dyDescent="0.2">
      <c r="B34" s="167" t="s">
        <v>93</v>
      </c>
      <c r="C34" s="20">
        <v>0</v>
      </c>
      <c r="D34" s="102">
        <f>Inputs!C74</f>
        <v>39277</v>
      </c>
      <c r="E34" s="20">
        <v>1</v>
      </c>
      <c r="F34" s="145">
        <f>C34*E34</f>
        <v>0</v>
      </c>
      <c r="G34" s="265">
        <v>0.66</v>
      </c>
      <c r="H34" s="145">
        <f>G34*F34</f>
        <v>0</v>
      </c>
      <c r="I34" s="145">
        <f>H34*0.1</f>
        <v>0</v>
      </c>
      <c r="J34" s="145">
        <f>H34*0.05</f>
        <v>0</v>
      </c>
      <c r="K34" s="145">
        <f>SUM(H34:J34)</f>
        <v>0</v>
      </c>
      <c r="L34" s="102">
        <f>ROUND(H34*Inputs!$G$82+I34*Inputs!$G$84+J34*Inputs!$G$83,0)</f>
        <v>0</v>
      </c>
      <c r="M34" s="102">
        <f>D34*E34*G34</f>
        <v>25922.82</v>
      </c>
    </row>
    <row r="35" spans="2:15" x14ac:dyDescent="0.2">
      <c r="B35" s="167" t="s">
        <v>94</v>
      </c>
      <c r="C35" s="20">
        <v>0</v>
      </c>
      <c r="D35" s="102">
        <f>Inputs!D74</f>
        <v>98884</v>
      </c>
      <c r="E35" s="20">
        <v>1</v>
      </c>
      <c r="F35" s="145">
        <f>C35*E35</f>
        <v>0</v>
      </c>
      <c r="G35" s="265">
        <v>0.66</v>
      </c>
      <c r="H35" s="145">
        <f>G35*F35</f>
        <v>0</v>
      </c>
      <c r="I35" s="145">
        <f>H35*0.1</f>
        <v>0</v>
      </c>
      <c r="J35" s="145">
        <f>H35*0.05</f>
        <v>0</v>
      </c>
      <c r="K35" s="145">
        <f>SUM(H35:J35)</f>
        <v>0</v>
      </c>
      <c r="L35" s="102">
        <f>ROUND(H35*Inputs!$G$82+I35*Inputs!$G$84+J35*Inputs!$G$83,0)</f>
        <v>0</v>
      </c>
      <c r="M35" s="102">
        <f>D35*E35*G35</f>
        <v>65263.44</v>
      </c>
    </row>
    <row r="36" spans="2:15" ht="22.9" customHeight="1" x14ac:dyDescent="0.2">
      <c r="B36" s="166" t="s">
        <v>251</v>
      </c>
      <c r="C36" s="20"/>
      <c r="D36" s="102"/>
      <c r="E36" s="20"/>
      <c r="F36" s="145"/>
      <c r="G36" s="265"/>
      <c r="H36" s="145"/>
      <c r="I36" s="145"/>
      <c r="J36" s="145"/>
      <c r="K36" s="145"/>
      <c r="L36" s="102"/>
      <c r="M36" s="102"/>
    </row>
    <row r="37" spans="2:15" x14ac:dyDescent="0.2">
      <c r="B37" s="167" t="s">
        <v>93</v>
      </c>
      <c r="C37" s="20">
        <v>0</v>
      </c>
      <c r="D37" s="102">
        <f>Inputs!J13</f>
        <v>1457857.142857143</v>
      </c>
      <c r="E37" s="20">
        <v>1</v>
      </c>
      <c r="F37" s="145">
        <f>C37*E37</f>
        <v>0</v>
      </c>
      <c r="G37" s="145">
        <v>0</v>
      </c>
      <c r="H37" s="145">
        <f>G37*F37</f>
        <v>0</v>
      </c>
      <c r="I37" s="145">
        <f>H37*0.1</f>
        <v>0</v>
      </c>
      <c r="J37" s="145">
        <f>H37*0.05</f>
        <v>0</v>
      </c>
      <c r="K37" s="145">
        <f>SUM(H37:J37)</f>
        <v>0</v>
      </c>
      <c r="L37" s="102">
        <f>ROUND(H37*Inputs!$G$82+I37*Inputs!$G$84+J37*Inputs!$G$83,0)</f>
        <v>0</v>
      </c>
      <c r="M37" s="102">
        <f>D37*E37*G37</f>
        <v>0</v>
      </c>
    </row>
    <row r="38" spans="2:15" x14ac:dyDescent="0.2">
      <c r="B38" s="167" t="s">
        <v>94</v>
      </c>
      <c r="C38" s="20">
        <v>0</v>
      </c>
      <c r="D38" s="102">
        <f>Inputs!K13</f>
        <v>753714.28571428568</v>
      </c>
      <c r="E38" s="20">
        <v>1</v>
      </c>
      <c r="F38" s="145">
        <f>C38*E38</f>
        <v>0</v>
      </c>
      <c r="G38" s="145">
        <v>0</v>
      </c>
      <c r="H38" s="145">
        <f>G38*F38</f>
        <v>0</v>
      </c>
      <c r="I38" s="145">
        <f>H38*0.1</f>
        <v>0</v>
      </c>
      <c r="J38" s="145">
        <f>H38*0.05</f>
        <v>0</v>
      </c>
      <c r="K38" s="145">
        <f>SUM(H38:J38)</f>
        <v>0</v>
      </c>
      <c r="L38" s="102">
        <f>ROUND(H38*Inputs!$G$82+I38*Inputs!$G$84+J38*Inputs!$G$83,0)</f>
        <v>0</v>
      </c>
      <c r="M38" s="102">
        <f>D38*E38*G38</f>
        <v>0</v>
      </c>
    </row>
    <row r="39" spans="2:15" ht="30.6" customHeight="1" x14ac:dyDescent="0.2">
      <c r="B39" s="166" t="s">
        <v>252</v>
      </c>
      <c r="C39" s="20"/>
      <c r="D39" s="102"/>
      <c r="E39" s="20"/>
      <c r="F39" s="145"/>
      <c r="G39" s="145"/>
      <c r="H39" s="145"/>
      <c r="I39" s="145"/>
      <c r="J39" s="145"/>
      <c r="K39" s="145"/>
      <c r="L39" s="102"/>
      <c r="M39" s="102"/>
    </row>
    <row r="40" spans="2:15" x14ac:dyDescent="0.2">
      <c r="B40" s="167" t="s">
        <v>93</v>
      </c>
      <c r="C40" s="20">
        <v>0</v>
      </c>
      <c r="D40" s="102">
        <f>Inputs!N11</f>
        <v>23200</v>
      </c>
      <c r="E40" s="20">
        <v>1</v>
      </c>
      <c r="F40" s="145">
        <f>C40*E40</f>
        <v>0</v>
      </c>
      <c r="G40" s="145">
        <v>0</v>
      </c>
      <c r="H40" s="145">
        <f>G40*F40</f>
        <v>0</v>
      </c>
      <c r="I40" s="145">
        <f>H40*0.1</f>
        <v>0</v>
      </c>
      <c r="J40" s="145">
        <f>H40*0.05</f>
        <v>0</v>
      </c>
      <c r="K40" s="145">
        <f>SUM(H40:J40)</f>
        <v>0</v>
      </c>
      <c r="L40" s="102">
        <f>ROUND(H40*Inputs!$G$82+I40*Inputs!$G$84+J40*Inputs!$G$83,0)</f>
        <v>0</v>
      </c>
      <c r="M40" s="102">
        <f>D40*E40*G40</f>
        <v>0</v>
      </c>
      <c r="O40" s="216"/>
    </row>
    <row r="41" spans="2:15" x14ac:dyDescent="0.2">
      <c r="B41" s="167" t="s">
        <v>94</v>
      </c>
      <c r="C41" s="20">
        <v>0</v>
      </c>
      <c r="D41" s="102">
        <f>Inputs!N12</f>
        <v>4900</v>
      </c>
      <c r="E41" s="20">
        <v>1</v>
      </c>
      <c r="F41" s="145">
        <f>C41*E41</f>
        <v>0</v>
      </c>
      <c r="G41" s="145">
        <v>0</v>
      </c>
      <c r="H41" s="145">
        <f>G41*F41</f>
        <v>0</v>
      </c>
      <c r="I41" s="145">
        <f>H41*0.1</f>
        <v>0</v>
      </c>
      <c r="J41" s="145">
        <f>H41*0.05</f>
        <v>0</v>
      </c>
      <c r="K41" s="145">
        <f>SUM(H41:J41)</f>
        <v>0</v>
      </c>
      <c r="L41" s="102">
        <f>ROUND(H41*Inputs!$G$82+I41*Inputs!$G$84+J41*Inputs!$G$83,0)</f>
        <v>0</v>
      </c>
      <c r="M41" s="102">
        <f>D41*E41*G41</f>
        <v>0</v>
      </c>
    </row>
    <row r="42" spans="2:15" ht="31.9" customHeight="1" x14ac:dyDescent="0.2">
      <c r="B42" s="166" t="s">
        <v>253</v>
      </c>
      <c r="C42" s="20"/>
      <c r="D42" s="102"/>
      <c r="E42" s="20"/>
      <c r="F42" s="145"/>
      <c r="G42" s="145"/>
      <c r="H42" s="145"/>
      <c r="I42" s="145"/>
      <c r="J42" s="145"/>
      <c r="K42" s="145"/>
      <c r="L42" s="102"/>
      <c r="M42" s="102"/>
    </row>
    <row r="43" spans="2:15" x14ac:dyDescent="0.2">
      <c r="B43" s="167" t="s">
        <v>153</v>
      </c>
      <c r="C43" s="20">
        <v>0</v>
      </c>
      <c r="D43" s="102">
        <f>Inputs!N13</f>
        <v>38302</v>
      </c>
      <c r="E43" s="20">
        <v>1</v>
      </c>
      <c r="F43" s="145">
        <f>C43*E43</f>
        <v>0</v>
      </c>
      <c r="G43" s="145">
        <v>0</v>
      </c>
      <c r="H43" s="145">
        <f>G43*F43</f>
        <v>0</v>
      </c>
      <c r="I43" s="145">
        <f>H43*0.1</f>
        <v>0</v>
      </c>
      <c r="J43" s="145">
        <f>H43*0.05</f>
        <v>0</v>
      </c>
      <c r="K43" s="145">
        <f>SUM(H43:J43)</f>
        <v>0</v>
      </c>
      <c r="L43" s="102">
        <f>ROUND(H43*Inputs!$G$82+I43*Inputs!$G$84+J43*Inputs!$G$83,0)</f>
        <v>0</v>
      </c>
      <c r="M43" s="102">
        <f>D43*E43*G43</f>
        <v>0</v>
      </c>
    </row>
    <row r="44" spans="2:15" x14ac:dyDescent="0.2">
      <c r="B44" s="167" t="s">
        <v>254</v>
      </c>
      <c r="C44" s="20">
        <v>0</v>
      </c>
      <c r="D44" s="102">
        <f>Inputs!J14</f>
        <v>0</v>
      </c>
      <c r="E44" s="20">
        <v>1</v>
      </c>
      <c r="F44" s="145">
        <f>C44*E44</f>
        <v>0</v>
      </c>
      <c r="G44" s="145">
        <v>0</v>
      </c>
      <c r="H44" s="145">
        <f>G44*F44</f>
        <v>0</v>
      </c>
      <c r="I44" s="145">
        <f>H44*0.1</f>
        <v>0</v>
      </c>
      <c r="J44" s="145">
        <f>H44*0.05</f>
        <v>0</v>
      </c>
      <c r="K44" s="145">
        <f>SUM(H44:J44)</f>
        <v>0</v>
      </c>
      <c r="L44" s="102">
        <f>ROUND(H44*Inputs!$G$82+I44*Inputs!$G$84+J44*Inputs!$G$83,0)</f>
        <v>0</v>
      </c>
      <c r="M44" s="102">
        <f>D44*E44*G44</f>
        <v>0</v>
      </c>
    </row>
    <row r="45" spans="2:15" ht="22.5" x14ac:dyDescent="0.2">
      <c r="B45" s="166" t="s">
        <v>255</v>
      </c>
      <c r="C45" s="20"/>
      <c r="D45" s="102"/>
      <c r="E45" s="20"/>
      <c r="F45" s="145"/>
      <c r="G45" s="145"/>
      <c r="H45" s="145"/>
      <c r="I45" s="145"/>
      <c r="J45" s="145"/>
      <c r="K45" s="145"/>
      <c r="L45" s="102"/>
      <c r="M45" s="102"/>
    </row>
    <row r="46" spans="2:15" x14ac:dyDescent="0.2">
      <c r="B46" s="167" t="s">
        <v>93</v>
      </c>
      <c r="C46" s="20">
        <v>0</v>
      </c>
      <c r="D46" s="102">
        <f>Inputs!J20</f>
        <v>14416.666666666666</v>
      </c>
      <c r="E46" s="20">
        <v>1</v>
      </c>
      <c r="F46" s="145">
        <f>C46*E46</f>
        <v>0</v>
      </c>
      <c r="G46" s="145">
        <v>0</v>
      </c>
      <c r="H46" s="145">
        <f>G46*F46</f>
        <v>0</v>
      </c>
      <c r="I46" s="145">
        <f>H46*0.1</f>
        <v>0</v>
      </c>
      <c r="J46" s="145">
        <f>H46*0.05</f>
        <v>0</v>
      </c>
      <c r="K46" s="145">
        <f>SUM(H46:J46)</f>
        <v>0</v>
      </c>
      <c r="L46" s="102">
        <f>ROUND(H46*Inputs!$G$82+I46*Inputs!$G$84+J46*Inputs!$G$83,0)</f>
        <v>0</v>
      </c>
      <c r="M46" s="102">
        <f>D46*E46*G46</f>
        <v>0</v>
      </c>
    </row>
    <row r="47" spans="2:15" x14ac:dyDescent="0.2">
      <c r="B47" s="167" t="s">
        <v>94</v>
      </c>
      <c r="C47" s="20">
        <v>0</v>
      </c>
      <c r="D47" s="102">
        <f>Inputs!K20</f>
        <v>62930.666666666664</v>
      </c>
      <c r="E47" s="20">
        <v>1</v>
      </c>
      <c r="F47" s="145">
        <f>C47*E47</f>
        <v>0</v>
      </c>
      <c r="G47" s="145">
        <v>0</v>
      </c>
      <c r="H47" s="145">
        <f>G47*F47</f>
        <v>0</v>
      </c>
      <c r="I47" s="145">
        <f>H47*0.1</f>
        <v>0</v>
      </c>
      <c r="J47" s="145">
        <f>H47*0.05</f>
        <v>0</v>
      </c>
      <c r="K47" s="145">
        <f>SUM(H47:J47)</f>
        <v>0</v>
      </c>
      <c r="L47" s="102">
        <f>ROUND(H47*Inputs!$G$82+I47*Inputs!$G$84+J47*Inputs!$G$83,0)</f>
        <v>0</v>
      </c>
      <c r="M47" s="102">
        <f>D47*E47*G47</f>
        <v>0</v>
      </c>
    </row>
    <row r="48" spans="2:15" ht="22.5" x14ac:dyDescent="0.2">
      <c r="B48" s="166" t="s">
        <v>256</v>
      </c>
      <c r="C48" s="20"/>
      <c r="D48" s="102"/>
      <c r="E48" s="20"/>
      <c r="F48" s="145"/>
      <c r="G48" s="145"/>
      <c r="H48" s="145"/>
      <c r="I48" s="145"/>
      <c r="J48" s="145"/>
      <c r="K48" s="145"/>
      <c r="L48" s="102"/>
      <c r="M48" s="102"/>
    </row>
    <row r="49" spans="2:13" x14ac:dyDescent="0.2">
      <c r="B49" s="167" t="s">
        <v>93</v>
      </c>
      <c r="C49" s="20">
        <v>0</v>
      </c>
      <c r="D49" s="102">
        <f>Inputs!J27</f>
        <v>10434.823529411764</v>
      </c>
      <c r="E49" s="20">
        <v>1</v>
      </c>
      <c r="F49" s="145">
        <f>C49*E49</f>
        <v>0</v>
      </c>
      <c r="G49" s="145">
        <v>0</v>
      </c>
      <c r="H49" s="145">
        <f>G49*F49</f>
        <v>0</v>
      </c>
      <c r="I49" s="145">
        <f>H49*0.1</f>
        <v>0</v>
      </c>
      <c r="J49" s="145">
        <f>H49*0.05</f>
        <v>0</v>
      </c>
      <c r="K49" s="145">
        <f>SUM(H49:J49)</f>
        <v>0</v>
      </c>
      <c r="L49" s="102">
        <f>ROUND(H49*Inputs!$G$82+I49*Inputs!$G$84+J49*Inputs!$G$83,0)</f>
        <v>0</v>
      </c>
      <c r="M49" s="102">
        <f>D49*E49*G49</f>
        <v>0</v>
      </c>
    </row>
    <row r="50" spans="2:13" x14ac:dyDescent="0.2">
      <c r="B50" s="167" t="s">
        <v>94</v>
      </c>
      <c r="C50" s="20">
        <v>0</v>
      </c>
      <c r="D50" s="102">
        <f>Inputs!K27</f>
        <v>207824.76470588235</v>
      </c>
      <c r="E50" s="20">
        <v>1</v>
      </c>
      <c r="F50" s="145">
        <f>C50*E50</f>
        <v>0</v>
      </c>
      <c r="G50" s="145">
        <v>0</v>
      </c>
      <c r="H50" s="145">
        <f>G50*F50</f>
        <v>0</v>
      </c>
      <c r="I50" s="145">
        <f>H50*0.1</f>
        <v>0</v>
      </c>
      <c r="J50" s="145">
        <f>H50*0.05</f>
        <v>0</v>
      </c>
      <c r="K50" s="145">
        <f>SUM(H50:J50)</f>
        <v>0</v>
      </c>
      <c r="L50" s="102">
        <f>ROUND(H50*Inputs!$G$82+I50*Inputs!$G$84+J50*Inputs!$G$83,0)</f>
        <v>0</v>
      </c>
      <c r="M50" s="102">
        <f>D50*E50*G50</f>
        <v>0</v>
      </c>
    </row>
    <row r="51" spans="2:13" x14ac:dyDescent="0.2">
      <c r="B51" s="165" t="s">
        <v>62</v>
      </c>
      <c r="C51" s="20" t="s">
        <v>64</v>
      </c>
      <c r="D51" s="102"/>
      <c r="E51" s="20"/>
      <c r="F51" s="145"/>
      <c r="G51" s="145"/>
      <c r="H51" s="145"/>
      <c r="I51" s="145"/>
      <c r="J51" s="145"/>
      <c r="K51" s="145"/>
      <c r="L51" s="102"/>
      <c r="M51" s="102"/>
    </row>
    <row r="52" spans="2:13" x14ac:dyDescent="0.2">
      <c r="B52" s="165" t="s">
        <v>63</v>
      </c>
      <c r="C52" s="20" t="s">
        <v>65</v>
      </c>
      <c r="D52" s="102"/>
      <c r="E52" s="20"/>
      <c r="F52" s="145"/>
      <c r="G52" s="145"/>
      <c r="H52" s="145"/>
      <c r="I52" s="145"/>
      <c r="J52" s="145"/>
      <c r="K52" s="145"/>
      <c r="L52" s="102"/>
      <c r="M52" s="102"/>
    </row>
    <row r="53" spans="2:13" x14ac:dyDescent="0.2">
      <c r="B53" s="165" t="s">
        <v>66</v>
      </c>
      <c r="C53" s="20"/>
      <c r="D53" s="102"/>
      <c r="E53" s="20"/>
      <c r="F53" s="145"/>
      <c r="G53" s="145"/>
      <c r="H53" s="145"/>
      <c r="I53" s="145"/>
      <c r="J53" s="145"/>
      <c r="K53" s="145"/>
      <c r="L53" s="102"/>
      <c r="M53" s="102"/>
    </row>
    <row r="54" spans="2:13" x14ac:dyDescent="0.2">
      <c r="B54" s="166" t="s">
        <v>156</v>
      </c>
      <c r="C54" s="20"/>
      <c r="D54" s="102"/>
      <c r="E54" s="20"/>
      <c r="F54" s="145"/>
      <c r="G54" s="145"/>
      <c r="H54" s="145"/>
      <c r="I54" s="145"/>
      <c r="J54" s="145"/>
      <c r="K54" s="145"/>
      <c r="L54" s="102"/>
      <c r="M54" s="102"/>
    </row>
    <row r="55" spans="2:13" x14ac:dyDescent="0.2">
      <c r="B55" s="167" t="s">
        <v>108</v>
      </c>
      <c r="C55" s="20">
        <v>5</v>
      </c>
      <c r="D55" s="102">
        <v>0</v>
      </c>
      <c r="E55" s="20">
        <v>1</v>
      </c>
      <c r="F55" s="145">
        <f t="shared" ref="F55:F62" si="0">C55*E55</f>
        <v>5</v>
      </c>
      <c r="G55" s="265">
        <f>G10</f>
        <v>0.66</v>
      </c>
      <c r="H55" s="145">
        <f t="shared" ref="H55:H62" si="1">G55*F55</f>
        <v>3.3000000000000003</v>
      </c>
      <c r="I55" s="145">
        <f t="shared" ref="I55:I62" si="2">H55*0.1</f>
        <v>0.33000000000000007</v>
      </c>
      <c r="J55" s="145">
        <f t="shared" ref="J55:J62" si="3">H55*0.05</f>
        <v>0.16500000000000004</v>
      </c>
      <c r="K55" s="145">
        <f t="shared" ref="K55:K62" si="4">SUM(H55:J55)</f>
        <v>3.7950000000000004</v>
      </c>
      <c r="L55" s="102">
        <f>ROUND(H55*Inputs!$G$82+I55*Inputs!$G$84+J55*Inputs!$G$83,0)</f>
        <v>376</v>
      </c>
      <c r="M55" s="102">
        <f t="shared" ref="M55:M62" si="5">D55*E55*G55</f>
        <v>0</v>
      </c>
    </row>
    <row r="56" spans="2:13" x14ac:dyDescent="0.2">
      <c r="B56" s="167" t="s">
        <v>109</v>
      </c>
      <c r="C56" s="20">
        <v>15</v>
      </c>
      <c r="D56" s="102">
        <v>0</v>
      </c>
      <c r="E56" s="20">
        <v>1</v>
      </c>
      <c r="F56" s="145">
        <f t="shared" si="0"/>
        <v>15</v>
      </c>
      <c r="G56" s="265">
        <f>G13</f>
        <v>0.66</v>
      </c>
      <c r="H56" s="145">
        <f t="shared" si="1"/>
        <v>9.9</v>
      </c>
      <c r="I56" s="145">
        <f t="shared" si="2"/>
        <v>0.9900000000000001</v>
      </c>
      <c r="J56" s="145">
        <f t="shared" si="3"/>
        <v>0.49500000000000005</v>
      </c>
      <c r="K56" s="145">
        <f t="shared" si="4"/>
        <v>11.385</v>
      </c>
      <c r="L56" s="102">
        <f>ROUND(H56*Inputs!$G$82+I56*Inputs!$G$84+J56*Inputs!$G$83,0)</f>
        <v>1127</v>
      </c>
      <c r="M56" s="102">
        <f t="shared" si="5"/>
        <v>0</v>
      </c>
    </row>
    <row r="57" spans="2:13" x14ac:dyDescent="0.2">
      <c r="B57" s="167" t="s">
        <v>206</v>
      </c>
      <c r="C57" s="20">
        <v>10</v>
      </c>
      <c r="D57" s="102">
        <v>0</v>
      </c>
      <c r="E57" s="20">
        <v>1</v>
      </c>
      <c r="F57" s="145">
        <f t="shared" ref="F57:F59" si="6">C57*E57</f>
        <v>10</v>
      </c>
      <c r="G57" s="265">
        <f>G14</f>
        <v>0.66</v>
      </c>
      <c r="H57" s="145">
        <f t="shared" ref="H57:H59" si="7">G57*F57</f>
        <v>6.6000000000000005</v>
      </c>
      <c r="I57" s="145">
        <f t="shared" ref="I57:I59" si="8">H57*0.1</f>
        <v>0.66000000000000014</v>
      </c>
      <c r="J57" s="145">
        <f t="shared" ref="J57:J59" si="9">H57*0.05</f>
        <v>0.33000000000000007</v>
      </c>
      <c r="K57" s="145">
        <f t="shared" ref="K57:K59" si="10">SUM(H57:J57)</f>
        <v>7.5900000000000007</v>
      </c>
      <c r="L57" s="102">
        <f>ROUND(H57*Inputs!$G$82+I57*Inputs!$G$84+J57*Inputs!$G$83,0)</f>
        <v>751</v>
      </c>
      <c r="M57" s="102">
        <f t="shared" ref="M57:M59" si="11">D57*E57*G57</f>
        <v>0</v>
      </c>
    </row>
    <row r="58" spans="2:13" x14ac:dyDescent="0.2">
      <c r="B58" s="167" t="s">
        <v>207</v>
      </c>
      <c r="C58" s="20">
        <v>10</v>
      </c>
      <c r="D58" s="102">
        <v>0</v>
      </c>
      <c r="E58" s="20">
        <v>1</v>
      </c>
      <c r="F58" s="145">
        <f t="shared" si="6"/>
        <v>10</v>
      </c>
      <c r="G58" s="265">
        <v>0.66</v>
      </c>
      <c r="H58" s="145">
        <f t="shared" si="7"/>
        <v>6.6000000000000005</v>
      </c>
      <c r="I58" s="145">
        <f t="shared" si="8"/>
        <v>0.66000000000000014</v>
      </c>
      <c r="J58" s="145">
        <f t="shared" si="9"/>
        <v>0.33000000000000007</v>
      </c>
      <c r="K58" s="145">
        <f t="shared" si="10"/>
        <v>7.5900000000000007</v>
      </c>
      <c r="L58" s="102">
        <f>ROUND(H58*Inputs!$G$82+I58*Inputs!$G$84+J58*Inputs!$G$83,0)</f>
        <v>751</v>
      </c>
      <c r="M58" s="102">
        <f t="shared" si="11"/>
        <v>0</v>
      </c>
    </row>
    <row r="59" spans="2:13" x14ac:dyDescent="0.2">
      <c r="B59" s="167" t="s">
        <v>269</v>
      </c>
      <c r="C59" s="20">
        <v>5</v>
      </c>
      <c r="D59" s="102">
        <v>0</v>
      </c>
      <c r="E59" s="20">
        <v>1</v>
      </c>
      <c r="F59" s="145">
        <f t="shared" si="6"/>
        <v>5</v>
      </c>
      <c r="G59" s="265">
        <f>G16</f>
        <v>0.66</v>
      </c>
      <c r="H59" s="145">
        <f t="shared" si="7"/>
        <v>3.3000000000000003</v>
      </c>
      <c r="I59" s="145">
        <f t="shared" si="8"/>
        <v>0.33000000000000007</v>
      </c>
      <c r="J59" s="145">
        <f t="shared" si="9"/>
        <v>0.16500000000000004</v>
      </c>
      <c r="K59" s="145">
        <f t="shared" si="10"/>
        <v>3.7950000000000004</v>
      </c>
      <c r="L59" s="102">
        <f>ROUND(H59*Inputs!$G$82+I59*Inputs!$G$84+J59*Inputs!$G$83,0)</f>
        <v>376</v>
      </c>
      <c r="M59" s="102">
        <f t="shared" si="11"/>
        <v>0</v>
      </c>
    </row>
    <row r="60" spans="2:13" ht="22.5" x14ac:dyDescent="0.2">
      <c r="B60" s="223" t="s">
        <v>257</v>
      </c>
      <c r="C60" s="20">
        <v>4</v>
      </c>
      <c r="D60" s="102">
        <v>0</v>
      </c>
      <c r="E60" s="20">
        <v>1</v>
      </c>
      <c r="F60" s="145">
        <f t="shared" ref="F60" si="12">C60*E60</f>
        <v>4</v>
      </c>
      <c r="G60" s="145">
        <v>0</v>
      </c>
      <c r="H60" s="145">
        <f t="shared" ref="H60" si="13">G60*F60</f>
        <v>0</v>
      </c>
      <c r="I60" s="145">
        <f t="shared" ref="I60" si="14">H60*0.1</f>
        <v>0</v>
      </c>
      <c r="J60" s="145">
        <f t="shared" ref="J60" si="15">H60*0.05</f>
        <v>0</v>
      </c>
      <c r="K60" s="145">
        <f t="shared" ref="K60" si="16">SUM(H60:J60)</f>
        <v>0</v>
      </c>
      <c r="L60" s="102">
        <f>ROUND(H60*Inputs!$G$82+I60*Inputs!$G$84+J60*Inputs!$G$83,0)</f>
        <v>0</v>
      </c>
      <c r="M60" s="102">
        <f t="shared" ref="M60" si="17">D60*E60*G60</f>
        <v>0</v>
      </c>
    </row>
    <row r="61" spans="2:13" ht="22.5" x14ac:dyDescent="0.2">
      <c r="B61" s="223" t="s">
        <v>258</v>
      </c>
      <c r="C61" s="224">
        <v>4</v>
      </c>
      <c r="D61" s="225">
        <v>0</v>
      </c>
      <c r="E61" s="224">
        <v>1</v>
      </c>
      <c r="F61" s="226">
        <f t="shared" si="0"/>
        <v>4</v>
      </c>
      <c r="G61" s="226">
        <f>G40</f>
        <v>0</v>
      </c>
      <c r="H61" s="226">
        <f t="shared" si="1"/>
        <v>0</v>
      </c>
      <c r="I61" s="226">
        <f t="shared" si="2"/>
        <v>0</v>
      </c>
      <c r="J61" s="226">
        <f t="shared" si="3"/>
        <v>0</v>
      </c>
      <c r="K61" s="226">
        <f t="shared" si="4"/>
        <v>0</v>
      </c>
      <c r="L61" s="225">
        <f>ROUND(H61*Inputs!$G$82+I61*Inputs!$G$84+J61*Inputs!$G$83,0)</f>
        <v>0</v>
      </c>
      <c r="M61" s="225">
        <f t="shared" si="5"/>
        <v>0</v>
      </c>
    </row>
    <row r="62" spans="2:13" x14ac:dyDescent="0.2">
      <c r="B62" s="167" t="s">
        <v>259</v>
      </c>
      <c r="C62" s="20">
        <v>4</v>
      </c>
      <c r="D62" s="102">
        <v>0</v>
      </c>
      <c r="E62" s="20">
        <v>1</v>
      </c>
      <c r="F62" s="145">
        <f t="shared" si="0"/>
        <v>4</v>
      </c>
      <c r="G62" s="145">
        <v>0</v>
      </c>
      <c r="H62" s="145">
        <f t="shared" si="1"/>
        <v>0</v>
      </c>
      <c r="I62" s="145">
        <f t="shared" si="2"/>
        <v>0</v>
      </c>
      <c r="J62" s="145">
        <f t="shared" si="3"/>
        <v>0</v>
      </c>
      <c r="K62" s="145">
        <f t="shared" si="4"/>
        <v>0</v>
      </c>
      <c r="L62" s="102">
        <f>ROUND(H62*Inputs!$G$82+I62*Inputs!$G$84+J62*Inputs!$G$83,0)</f>
        <v>0</v>
      </c>
      <c r="M62" s="102">
        <f t="shared" si="5"/>
        <v>0</v>
      </c>
    </row>
    <row r="63" spans="2:13" x14ac:dyDescent="0.2">
      <c r="B63" s="168" t="s">
        <v>157</v>
      </c>
      <c r="C63" s="20"/>
      <c r="D63" s="102"/>
      <c r="E63" s="20"/>
      <c r="F63" s="145"/>
      <c r="G63" s="265"/>
      <c r="H63" s="145"/>
      <c r="I63" s="145"/>
      <c r="J63" s="145"/>
      <c r="K63" s="145"/>
      <c r="L63" s="102"/>
      <c r="M63" s="102"/>
    </row>
    <row r="64" spans="2:13" x14ac:dyDescent="0.2">
      <c r="B64" s="167" t="s">
        <v>108</v>
      </c>
      <c r="C64" s="20">
        <v>5</v>
      </c>
      <c r="D64" s="102">
        <v>0</v>
      </c>
      <c r="E64" s="20">
        <v>2</v>
      </c>
      <c r="F64" s="145">
        <f t="shared" ref="F64:F73" si="18">C64*E64</f>
        <v>10</v>
      </c>
      <c r="G64" s="265">
        <f>G11</f>
        <v>0.66</v>
      </c>
      <c r="H64" s="145">
        <f t="shared" ref="H64:H73" si="19">G64*F64</f>
        <v>6.6000000000000005</v>
      </c>
      <c r="I64" s="145">
        <f t="shared" ref="I64:I73" si="20">H64*0.1</f>
        <v>0.66000000000000014</v>
      </c>
      <c r="J64" s="145">
        <f t="shared" ref="J64:J73" si="21">H64*0.05</f>
        <v>0.33000000000000007</v>
      </c>
      <c r="K64" s="145">
        <f t="shared" ref="K64:K73" si="22">SUM(H64:J64)</f>
        <v>7.5900000000000007</v>
      </c>
      <c r="L64" s="102">
        <f>ROUND(H64*Inputs!$G$82+I64*Inputs!$G$84+J64*Inputs!$G$83,0)</f>
        <v>751</v>
      </c>
      <c r="M64" s="102">
        <f t="shared" ref="M64:M73" si="23">D64*E64*G64</f>
        <v>0</v>
      </c>
    </row>
    <row r="65" spans="2:13" x14ac:dyDescent="0.2">
      <c r="B65" s="167" t="s">
        <v>109</v>
      </c>
      <c r="C65" s="20">
        <v>10</v>
      </c>
      <c r="D65" s="102">
        <v>0</v>
      </c>
      <c r="E65" s="20">
        <v>2</v>
      </c>
      <c r="F65" s="145">
        <f t="shared" si="18"/>
        <v>20</v>
      </c>
      <c r="G65" s="265">
        <f>G14</f>
        <v>0.66</v>
      </c>
      <c r="H65" s="145">
        <f t="shared" si="19"/>
        <v>13.200000000000001</v>
      </c>
      <c r="I65" s="145">
        <f t="shared" si="20"/>
        <v>1.3200000000000003</v>
      </c>
      <c r="J65" s="145">
        <f t="shared" si="21"/>
        <v>0.66000000000000014</v>
      </c>
      <c r="K65" s="145">
        <f t="shared" si="22"/>
        <v>15.180000000000001</v>
      </c>
      <c r="L65" s="102">
        <f>ROUND(H65*Inputs!$G$82+I65*Inputs!$G$84+J65*Inputs!$G$83,0)</f>
        <v>1502</v>
      </c>
      <c r="M65" s="102">
        <f t="shared" si="23"/>
        <v>0</v>
      </c>
    </row>
    <row r="66" spans="2:13" x14ac:dyDescent="0.2">
      <c r="B66" s="167" t="s">
        <v>154</v>
      </c>
      <c r="C66" s="20">
        <v>4</v>
      </c>
      <c r="D66" s="102">
        <v>0</v>
      </c>
      <c r="E66" s="20">
        <v>2</v>
      </c>
      <c r="F66" s="145">
        <f t="shared" si="18"/>
        <v>8</v>
      </c>
      <c r="G66" s="265">
        <v>0.66</v>
      </c>
      <c r="H66" s="145">
        <f t="shared" si="19"/>
        <v>5.28</v>
      </c>
      <c r="I66" s="145">
        <f t="shared" si="20"/>
        <v>0.52800000000000002</v>
      </c>
      <c r="J66" s="145">
        <f t="shared" si="21"/>
        <v>0.26400000000000001</v>
      </c>
      <c r="K66" s="145">
        <f t="shared" si="22"/>
        <v>6.0720000000000001</v>
      </c>
      <c r="L66" s="102">
        <f>ROUND(H66*Inputs!$G$82+I66*Inputs!$G$84+J66*Inputs!$G$83,0)</f>
        <v>601</v>
      </c>
      <c r="M66" s="102">
        <f t="shared" si="23"/>
        <v>0</v>
      </c>
    </row>
    <row r="67" spans="2:13" x14ac:dyDescent="0.2">
      <c r="B67" s="167" t="s">
        <v>260</v>
      </c>
      <c r="C67" s="20">
        <v>4</v>
      </c>
      <c r="D67" s="102">
        <v>0</v>
      </c>
      <c r="E67" s="20">
        <v>2</v>
      </c>
      <c r="F67" s="145">
        <f t="shared" si="18"/>
        <v>8</v>
      </c>
      <c r="G67" s="265">
        <v>0</v>
      </c>
      <c r="H67" s="145">
        <f t="shared" si="19"/>
        <v>0</v>
      </c>
      <c r="I67" s="145">
        <f t="shared" si="20"/>
        <v>0</v>
      </c>
      <c r="J67" s="145">
        <f t="shared" si="21"/>
        <v>0</v>
      </c>
      <c r="K67" s="145">
        <f t="shared" si="22"/>
        <v>0</v>
      </c>
      <c r="L67" s="102">
        <f>ROUND(H67*Inputs!$G$82+I67*Inputs!$G$84+J67*Inputs!$G$83,0)</f>
        <v>0</v>
      </c>
      <c r="M67" s="102">
        <f t="shared" si="23"/>
        <v>0</v>
      </c>
    </row>
    <row r="68" spans="2:13" x14ac:dyDescent="0.2">
      <c r="B68" s="167" t="s">
        <v>128</v>
      </c>
      <c r="C68" s="20">
        <v>3</v>
      </c>
      <c r="D68" s="102">
        <v>0</v>
      </c>
      <c r="E68" s="20">
        <v>2</v>
      </c>
      <c r="F68" s="145">
        <f t="shared" si="18"/>
        <v>6</v>
      </c>
      <c r="G68" s="265">
        <f>G17</f>
        <v>0.66</v>
      </c>
      <c r="H68" s="145">
        <f t="shared" si="19"/>
        <v>3.96</v>
      </c>
      <c r="I68" s="145">
        <f t="shared" si="20"/>
        <v>0.39600000000000002</v>
      </c>
      <c r="J68" s="145">
        <f t="shared" si="21"/>
        <v>0.19800000000000001</v>
      </c>
      <c r="K68" s="145">
        <f t="shared" si="22"/>
        <v>4.5540000000000003</v>
      </c>
      <c r="L68" s="102">
        <f>ROUND(H68*Inputs!$G$82+I68*Inputs!$G$84+J68*Inputs!$G$83,0)</f>
        <v>451</v>
      </c>
      <c r="M68" s="102">
        <f t="shared" si="23"/>
        <v>0</v>
      </c>
    </row>
    <row r="69" spans="2:13" ht="22.5" x14ac:dyDescent="0.2">
      <c r="B69" s="223" t="s">
        <v>209</v>
      </c>
      <c r="C69" s="20">
        <v>3</v>
      </c>
      <c r="D69" s="102">
        <v>0</v>
      </c>
      <c r="E69" s="20">
        <v>2</v>
      </c>
      <c r="F69" s="145">
        <f t="shared" ref="F69:F71" si="24">C69*E69</f>
        <v>6</v>
      </c>
      <c r="G69" s="265">
        <v>0.66</v>
      </c>
      <c r="H69" s="145">
        <f t="shared" ref="H69:H71" si="25">G69*F69</f>
        <v>3.96</v>
      </c>
      <c r="I69" s="145">
        <f t="shared" ref="I69:I71" si="26">H69*0.1</f>
        <v>0.39600000000000002</v>
      </c>
      <c r="J69" s="145">
        <f t="shared" ref="J69:J71" si="27">H69*0.05</f>
        <v>0.19800000000000001</v>
      </c>
      <c r="K69" s="145">
        <f t="shared" ref="K69:K71" si="28">SUM(H69:J69)</f>
        <v>4.5540000000000003</v>
      </c>
      <c r="L69" s="102">
        <f>ROUND(H69*Inputs!$G$82+I69*Inputs!$G$84+J69*Inputs!$G$83,0)</f>
        <v>451</v>
      </c>
      <c r="M69" s="102">
        <f t="shared" ref="M69:M71" si="29">D69*E69*G69</f>
        <v>0</v>
      </c>
    </row>
    <row r="70" spans="2:13" x14ac:dyDescent="0.2">
      <c r="B70" s="223" t="s">
        <v>270</v>
      </c>
      <c r="C70" s="20">
        <v>3</v>
      </c>
      <c r="D70" s="102">
        <v>0</v>
      </c>
      <c r="E70" s="20">
        <v>2</v>
      </c>
      <c r="F70" s="145">
        <f t="shared" si="24"/>
        <v>6</v>
      </c>
      <c r="G70" s="265">
        <f>G19</f>
        <v>0.66</v>
      </c>
      <c r="H70" s="145">
        <f t="shared" si="25"/>
        <v>3.96</v>
      </c>
      <c r="I70" s="145">
        <f t="shared" si="26"/>
        <v>0.39600000000000002</v>
      </c>
      <c r="J70" s="145">
        <f t="shared" si="27"/>
        <v>0.19800000000000001</v>
      </c>
      <c r="K70" s="145">
        <f t="shared" si="28"/>
        <v>4.5540000000000003</v>
      </c>
      <c r="L70" s="102">
        <f>ROUND(H70*Inputs!$G$82+I70*Inputs!$G$84+J70*Inputs!$G$83,0)</f>
        <v>451</v>
      </c>
      <c r="M70" s="102">
        <f t="shared" si="29"/>
        <v>0</v>
      </c>
    </row>
    <row r="71" spans="2:13" x14ac:dyDescent="0.2">
      <c r="B71" s="223" t="s">
        <v>211</v>
      </c>
      <c r="C71" s="20">
        <v>4</v>
      </c>
      <c r="D71" s="102">
        <v>0</v>
      </c>
      <c r="E71" s="20">
        <v>2</v>
      </c>
      <c r="F71" s="145">
        <f t="shared" si="24"/>
        <v>8</v>
      </c>
      <c r="G71" s="265">
        <f>G20</f>
        <v>0.66</v>
      </c>
      <c r="H71" s="145">
        <f t="shared" si="25"/>
        <v>5.28</v>
      </c>
      <c r="I71" s="145">
        <f t="shared" si="26"/>
        <v>0.52800000000000002</v>
      </c>
      <c r="J71" s="145">
        <f t="shared" si="27"/>
        <v>0.26400000000000001</v>
      </c>
      <c r="K71" s="145">
        <f t="shared" si="28"/>
        <v>6.0720000000000001</v>
      </c>
      <c r="L71" s="102">
        <f>ROUND(H71*Inputs!$G$82+I71*Inputs!$G$84+J71*Inputs!$G$83,0)</f>
        <v>601</v>
      </c>
      <c r="M71" s="102">
        <f t="shared" si="29"/>
        <v>0</v>
      </c>
    </row>
    <row r="72" spans="2:13" ht="21" customHeight="1" x14ac:dyDescent="0.2">
      <c r="B72" s="223" t="s">
        <v>261</v>
      </c>
      <c r="C72" s="224">
        <v>4</v>
      </c>
      <c r="D72" s="225">
        <v>0</v>
      </c>
      <c r="E72" s="224">
        <v>2</v>
      </c>
      <c r="F72" s="226">
        <f t="shared" si="18"/>
        <v>8</v>
      </c>
      <c r="G72" s="226">
        <f>G41</f>
        <v>0</v>
      </c>
      <c r="H72" s="226">
        <f t="shared" si="19"/>
        <v>0</v>
      </c>
      <c r="I72" s="226">
        <f t="shared" si="20"/>
        <v>0</v>
      </c>
      <c r="J72" s="226">
        <f t="shared" si="21"/>
        <v>0</v>
      </c>
      <c r="K72" s="226">
        <f t="shared" si="22"/>
        <v>0</v>
      </c>
      <c r="L72" s="225">
        <f>ROUND(H72*Inputs!$G$82+I72*Inputs!$G$84+J72*Inputs!$G$83,0)</f>
        <v>0</v>
      </c>
      <c r="M72" s="225">
        <f t="shared" si="23"/>
        <v>0</v>
      </c>
    </row>
    <row r="73" spans="2:13" x14ac:dyDescent="0.2">
      <c r="B73" s="167" t="s">
        <v>262</v>
      </c>
      <c r="C73" s="20">
        <v>4</v>
      </c>
      <c r="D73" s="102">
        <v>0</v>
      </c>
      <c r="E73" s="20">
        <v>2</v>
      </c>
      <c r="F73" s="145">
        <f t="shared" si="18"/>
        <v>8</v>
      </c>
      <c r="G73" s="145">
        <v>0</v>
      </c>
      <c r="H73" s="145">
        <f t="shared" si="19"/>
        <v>0</v>
      </c>
      <c r="I73" s="145">
        <f t="shared" si="20"/>
        <v>0</v>
      </c>
      <c r="J73" s="145">
        <f t="shared" si="21"/>
        <v>0</v>
      </c>
      <c r="K73" s="145">
        <f t="shared" si="22"/>
        <v>0</v>
      </c>
      <c r="L73" s="102">
        <f>ROUND(H73*Inputs!$G$82+I73*Inputs!$G$84+J73*Inputs!$G$83,0)</f>
        <v>0</v>
      </c>
      <c r="M73" s="102">
        <f t="shared" si="23"/>
        <v>0</v>
      </c>
    </row>
    <row r="74" spans="2:13" ht="22.5" x14ac:dyDescent="0.2">
      <c r="B74" s="223" t="s">
        <v>263</v>
      </c>
      <c r="C74" s="20">
        <v>4</v>
      </c>
      <c r="D74" s="102">
        <v>0</v>
      </c>
      <c r="E74" s="20">
        <v>2</v>
      </c>
      <c r="F74" s="145">
        <f t="shared" ref="F74" si="30">C74*E74</f>
        <v>8</v>
      </c>
      <c r="G74" s="145">
        <v>0</v>
      </c>
      <c r="H74" s="145">
        <f t="shared" ref="H74" si="31">G74*F74</f>
        <v>0</v>
      </c>
      <c r="I74" s="145">
        <f t="shared" ref="I74" si="32">H74*0.1</f>
        <v>0</v>
      </c>
      <c r="J74" s="145">
        <f t="shared" ref="J74" si="33">H74*0.05</f>
        <v>0</v>
      </c>
      <c r="K74" s="145">
        <f t="shared" ref="K74" si="34">SUM(H74:J74)</f>
        <v>0</v>
      </c>
      <c r="L74" s="102">
        <f>ROUND(H74*Inputs!$G$82+I74*Inputs!$G$84+J74*Inputs!$G$83,0)</f>
        <v>0</v>
      </c>
      <c r="M74" s="102">
        <f t="shared" ref="M74" si="35">D74*E74*G74</f>
        <v>0</v>
      </c>
    </row>
    <row r="75" spans="2:13" x14ac:dyDescent="0.2">
      <c r="B75" s="168" t="s">
        <v>264</v>
      </c>
      <c r="C75" s="20"/>
      <c r="D75" s="102"/>
      <c r="E75" s="20"/>
      <c r="F75" s="145"/>
      <c r="G75" s="265"/>
      <c r="H75" s="145"/>
      <c r="I75" s="145"/>
      <c r="J75" s="145"/>
      <c r="K75" s="145"/>
      <c r="L75" s="102"/>
      <c r="M75" s="102"/>
    </row>
    <row r="76" spans="2:13" x14ac:dyDescent="0.2">
      <c r="B76" s="223" t="s">
        <v>213</v>
      </c>
      <c r="C76" s="20">
        <v>10</v>
      </c>
      <c r="D76" s="102">
        <v>0</v>
      </c>
      <c r="E76" s="20">
        <v>1</v>
      </c>
      <c r="F76" s="145">
        <f t="shared" ref="F76:F78" si="36">C76*E76</f>
        <v>10</v>
      </c>
      <c r="G76" s="265">
        <v>0.66</v>
      </c>
      <c r="H76" s="145">
        <f t="shared" ref="H76:H78" si="37">G76*F76</f>
        <v>6.6000000000000005</v>
      </c>
      <c r="I76" s="145">
        <f t="shared" ref="I76:I78" si="38">H76*0.1</f>
        <v>0.66000000000000014</v>
      </c>
      <c r="J76" s="145">
        <f t="shared" ref="J76:J78" si="39">H76*0.05</f>
        <v>0.33000000000000007</v>
      </c>
      <c r="K76" s="145">
        <f t="shared" ref="K76:K78" si="40">SUM(H76:J76)</f>
        <v>7.5900000000000007</v>
      </c>
      <c r="L76" s="102">
        <f>ROUND(H76*Inputs!$G$82+I76*Inputs!$G$84+J76*Inputs!$G$83,0)</f>
        <v>751</v>
      </c>
      <c r="M76" s="102">
        <f t="shared" ref="M76:M78" si="41">D76*E76*G76</f>
        <v>0</v>
      </c>
    </row>
    <row r="77" spans="2:13" x14ac:dyDescent="0.2">
      <c r="B77" s="223" t="s">
        <v>214</v>
      </c>
      <c r="C77" s="20">
        <v>10</v>
      </c>
      <c r="D77" s="102">
        <v>0</v>
      </c>
      <c r="E77" s="20">
        <v>1</v>
      </c>
      <c r="F77" s="145">
        <f t="shared" si="36"/>
        <v>10</v>
      </c>
      <c r="G77" s="145">
        <v>0</v>
      </c>
      <c r="H77" s="145">
        <f t="shared" si="37"/>
        <v>0</v>
      </c>
      <c r="I77" s="145">
        <f t="shared" si="38"/>
        <v>0</v>
      </c>
      <c r="J77" s="145">
        <f t="shared" si="39"/>
        <v>0</v>
      </c>
      <c r="K77" s="145">
        <f t="shared" si="40"/>
        <v>0</v>
      </c>
      <c r="L77" s="102">
        <f>ROUND(H77*Inputs!$G$82+I77*Inputs!$G$84+J77*Inputs!$G$83,0)</f>
        <v>0</v>
      </c>
      <c r="M77" s="102">
        <f t="shared" si="41"/>
        <v>0</v>
      </c>
    </row>
    <row r="78" spans="2:13" x14ac:dyDescent="0.2">
      <c r="B78" s="223" t="s">
        <v>215</v>
      </c>
      <c r="C78" s="20">
        <v>4</v>
      </c>
      <c r="D78" s="102">
        <v>0</v>
      </c>
      <c r="E78" s="20">
        <v>4</v>
      </c>
      <c r="F78" s="145">
        <f t="shared" si="36"/>
        <v>16</v>
      </c>
      <c r="G78" s="265">
        <v>0.66</v>
      </c>
      <c r="H78" s="145">
        <f t="shared" si="37"/>
        <v>10.56</v>
      </c>
      <c r="I78" s="145">
        <f t="shared" si="38"/>
        <v>1.056</v>
      </c>
      <c r="J78" s="145">
        <f t="shared" si="39"/>
        <v>0.52800000000000002</v>
      </c>
      <c r="K78" s="145">
        <f t="shared" si="40"/>
        <v>12.144</v>
      </c>
      <c r="L78" s="102">
        <f>ROUND(H78*Inputs!$G$82+I78*Inputs!$G$84+J78*Inputs!$G$83,0)</f>
        <v>1202</v>
      </c>
      <c r="M78" s="102">
        <f t="shared" si="41"/>
        <v>0</v>
      </c>
    </row>
    <row r="79" spans="2:13" x14ac:dyDescent="0.2">
      <c r="B79" s="169" t="s">
        <v>67</v>
      </c>
      <c r="C79" s="20"/>
      <c r="D79" s="102"/>
      <c r="E79" s="20"/>
      <c r="F79" s="20"/>
      <c r="G79" s="20"/>
      <c r="H79" s="210">
        <f>SUM(H7:H78)</f>
        <v>5072.9400000000014</v>
      </c>
      <c r="I79" s="210">
        <f>SUM(I7:I78)</f>
        <v>507.29400000000015</v>
      </c>
      <c r="J79" s="210">
        <f>SUM(J7:J78)</f>
        <v>253.64700000000008</v>
      </c>
      <c r="K79" s="210">
        <f>SUM(K7:K78)</f>
        <v>5833.8810000000021</v>
      </c>
      <c r="L79" s="211">
        <f>SUM(L7:L78)</f>
        <v>577423</v>
      </c>
      <c r="M79" s="211">
        <f>SUM(M7:M78)-M10-M13-M16-M40-M43-M19-M22-M25-M28-M31-M34-M37</f>
        <v>670614.77999999991</v>
      </c>
    </row>
    <row r="80" spans="2:13" x14ac:dyDescent="0.2">
      <c r="B80" s="164" t="s">
        <v>53</v>
      </c>
      <c r="C80" s="20"/>
      <c r="D80" s="102"/>
      <c r="E80" s="20"/>
      <c r="F80" s="20"/>
      <c r="G80" s="20"/>
      <c r="H80" s="20"/>
      <c r="I80" s="21"/>
      <c r="J80" s="21"/>
      <c r="K80" s="21"/>
      <c r="L80" s="102"/>
      <c r="M80" s="102"/>
    </row>
    <row r="81" spans="2:13" x14ac:dyDescent="0.2">
      <c r="B81" s="165" t="s">
        <v>54</v>
      </c>
      <c r="C81" s="20" t="s">
        <v>95</v>
      </c>
      <c r="D81" s="102"/>
      <c r="E81" s="20"/>
      <c r="F81" s="20"/>
      <c r="G81" s="20"/>
      <c r="H81" s="20"/>
      <c r="I81" s="21"/>
      <c r="J81" s="21"/>
      <c r="K81" s="21"/>
      <c r="L81" s="102"/>
      <c r="M81" s="102"/>
    </row>
    <row r="82" spans="2:13" x14ac:dyDescent="0.2">
      <c r="B82" s="165" t="s">
        <v>91</v>
      </c>
      <c r="C82" s="144" t="s">
        <v>58</v>
      </c>
      <c r="D82" s="102"/>
      <c r="E82" s="20"/>
      <c r="F82" s="20"/>
      <c r="G82" s="20"/>
      <c r="H82" s="20"/>
      <c r="I82" s="21"/>
      <c r="J82" s="21"/>
      <c r="K82" s="21"/>
      <c r="L82" s="102"/>
      <c r="M82" s="102"/>
    </row>
    <row r="83" spans="2:13" x14ac:dyDescent="0.2">
      <c r="B83" s="165" t="s">
        <v>55</v>
      </c>
      <c r="C83" s="144" t="s">
        <v>58</v>
      </c>
      <c r="D83" s="102"/>
      <c r="E83" s="20"/>
      <c r="F83" s="20"/>
      <c r="G83" s="20"/>
      <c r="H83" s="20"/>
      <c r="I83" s="21"/>
      <c r="J83" s="21"/>
      <c r="K83" s="21"/>
      <c r="L83" s="102"/>
      <c r="M83" s="102"/>
    </row>
    <row r="84" spans="2:13" x14ac:dyDescent="0.2">
      <c r="B84" s="165" t="s">
        <v>68</v>
      </c>
      <c r="C84" s="20"/>
      <c r="D84" s="102"/>
      <c r="E84" s="20"/>
      <c r="F84" s="20"/>
      <c r="G84" s="20"/>
      <c r="H84" s="20"/>
      <c r="I84" s="21"/>
      <c r="J84" s="21"/>
      <c r="K84" s="21"/>
      <c r="L84" s="102"/>
      <c r="M84" s="102"/>
    </row>
    <row r="85" spans="2:13" x14ac:dyDescent="0.2">
      <c r="B85" s="168" t="s">
        <v>265</v>
      </c>
      <c r="C85" s="20">
        <v>1</v>
      </c>
      <c r="D85" s="102">
        <v>0</v>
      </c>
      <c r="E85" s="20">
        <v>12</v>
      </c>
      <c r="F85" s="20">
        <f t="shared" ref="F85:F88" si="42">C85*E85</f>
        <v>12</v>
      </c>
      <c r="G85" s="21">
        <v>0</v>
      </c>
      <c r="H85" s="145">
        <f t="shared" ref="H85:H101" si="43">G85*F85</f>
        <v>0</v>
      </c>
      <c r="I85" s="145">
        <f t="shared" ref="I85:I101" si="44">H85*0.1</f>
        <v>0</v>
      </c>
      <c r="J85" s="145">
        <f t="shared" ref="J85:J101" si="45">H85*0.05</f>
        <v>0</v>
      </c>
      <c r="K85" s="147">
        <f t="shared" ref="K85:K101" si="46">SUM(H85:J85)</f>
        <v>0</v>
      </c>
      <c r="L85" s="102">
        <f>ROUND(H85*Inputs!$G$82+I85*Inputs!$G$84+J85*Inputs!$G$83,0)</f>
        <v>0</v>
      </c>
      <c r="M85" s="102">
        <f t="shared" ref="M85:M101" si="47">D85*E85*G85</f>
        <v>0</v>
      </c>
    </row>
    <row r="86" spans="2:13" x14ac:dyDescent="0.2">
      <c r="B86" s="168" t="s">
        <v>221</v>
      </c>
      <c r="C86" s="20">
        <v>0.4</v>
      </c>
      <c r="D86" s="102">
        <v>0</v>
      </c>
      <c r="E86" s="20">
        <v>365</v>
      </c>
      <c r="F86" s="20">
        <f t="shared" ref="F86" si="48">C86*E86</f>
        <v>146</v>
      </c>
      <c r="G86" s="266">
        <v>0.66</v>
      </c>
      <c r="H86" s="145">
        <f t="shared" ref="H86" si="49">G86*F86</f>
        <v>96.36</v>
      </c>
      <c r="I86" s="145">
        <f t="shared" ref="I86" si="50">H86*0.1</f>
        <v>9.636000000000001</v>
      </c>
      <c r="J86" s="145">
        <f t="shared" ref="J86" si="51">H86*0.05</f>
        <v>4.8180000000000005</v>
      </c>
      <c r="K86" s="147">
        <f t="shared" ref="K86" si="52">SUM(H86:J86)</f>
        <v>110.81399999999999</v>
      </c>
      <c r="L86" s="102">
        <f>ROUND(H86*Inputs!$G$82+I86*Inputs!$G$84+J86*Inputs!$G$83,0)</f>
        <v>10968</v>
      </c>
      <c r="M86" s="102">
        <f t="shared" ref="M86" si="53">D86*E86*G86</f>
        <v>0</v>
      </c>
    </row>
    <row r="87" spans="2:13" x14ac:dyDescent="0.2">
      <c r="B87" s="168" t="s">
        <v>216</v>
      </c>
      <c r="C87" s="20">
        <v>10</v>
      </c>
      <c r="D87" s="102">
        <v>0</v>
      </c>
      <c r="E87" s="20">
        <v>1</v>
      </c>
      <c r="F87" s="20">
        <f t="shared" si="42"/>
        <v>10</v>
      </c>
      <c r="G87" s="266">
        <f>G14</f>
        <v>0.66</v>
      </c>
      <c r="H87" s="145">
        <f t="shared" si="43"/>
        <v>6.6000000000000005</v>
      </c>
      <c r="I87" s="145">
        <f t="shared" si="44"/>
        <v>0.66000000000000014</v>
      </c>
      <c r="J87" s="145">
        <f t="shared" si="45"/>
        <v>0.33000000000000007</v>
      </c>
      <c r="K87" s="147">
        <f t="shared" si="46"/>
        <v>7.5900000000000007</v>
      </c>
      <c r="L87" s="102">
        <f>ROUND(H87*Inputs!$G$82+I87*Inputs!$G$84+J87*Inputs!$G$83,0)</f>
        <v>751</v>
      </c>
      <c r="M87" s="102">
        <f t="shared" si="47"/>
        <v>0</v>
      </c>
    </row>
    <row r="88" spans="2:13" x14ac:dyDescent="0.2">
      <c r="B88" s="168" t="s">
        <v>267</v>
      </c>
      <c r="C88" s="20">
        <v>0</v>
      </c>
      <c r="D88" s="102">
        <v>0</v>
      </c>
      <c r="E88" s="20">
        <v>1</v>
      </c>
      <c r="F88" s="20">
        <f t="shared" si="42"/>
        <v>0</v>
      </c>
      <c r="G88" s="266">
        <f>G17</f>
        <v>0.66</v>
      </c>
      <c r="H88" s="145">
        <f t="shared" si="43"/>
        <v>0</v>
      </c>
      <c r="I88" s="145">
        <f t="shared" si="44"/>
        <v>0</v>
      </c>
      <c r="J88" s="145">
        <f t="shared" si="45"/>
        <v>0</v>
      </c>
      <c r="K88" s="147">
        <f t="shared" si="46"/>
        <v>0</v>
      </c>
      <c r="L88" s="102">
        <f>ROUND(H88*Inputs!$G$82+I88*Inputs!$G$84+J88*Inputs!$G$83,0)</f>
        <v>0</v>
      </c>
      <c r="M88" s="102">
        <f t="shared" si="47"/>
        <v>0</v>
      </c>
    </row>
    <row r="89" spans="2:13" x14ac:dyDescent="0.2">
      <c r="B89" s="168" t="s">
        <v>217</v>
      </c>
      <c r="C89" s="20">
        <v>1</v>
      </c>
      <c r="D89" s="102">
        <v>0</v>
      </c>
      <c r="E89" s="20">
        <v>1</v>
      </c>
      <c r="F89" s="20">
        <f>C89*E89</f>
        <v>1</v>
      </c>
      <c r="G89" s="266">
        <f>G66</f>
        <v>0.66</v>
      </c>
      <c r="H89" s="145">
        <f t="shared" si="43"/>
        <v>0.66</v>
      </c>
      <c r="I89" s="145">
        <f t="shared" si="44"/>
        <v>6.6000000000000003E-2</v>
      </c>
      <c r="J89" s="145">
        <f t="shared" si="45"/>
        <v>3.3000000000000002E-2</v>
      </c>
      <c r="K89" s="147">
        <f t="shared" si="46"/>
        <v>0.75900000000000001</v>
      </c>
      <c r="L89" s="102">
        <f>ROUND(H89*Inputs!$G$82+I89*Inputs!$G$84+J89*Inputs!$G$83,0)</f>
        <v>75</v>
      </c>
      <c r="M89" s="102">
        <f t="shared" si="47"/>
        <v>0</v>
      </c>
    </row>
    <row r="90" spans="2:13" x14ac:dyDescent="0.2">
      <c r="B90" s="168" t="s">
        <v>268</v>
      </c>
      <c r="C90" s="20">
        <v>0</v>
      </c>
      <c r="D90" s="102">
        <v>0</v>
      </c>
      <c r="E90" s="20">
        <v>1</v>
      </c>
      <c r="F90" s="20">
        <f t="shared" ref="F90:F101" si="54">C90*E90</f>
        <v>0</v>
      </c>
      <c r="G90" s="266">
        <f>G67</f>
        <v>0</v>
      </c>
      <c r="H90" s="145">
        <f t="shared" si="43"/>
        <v>0</v>
      </c>
      <c r="I90" s="145">
        <f t="shared" si="44"/>
        <v>0</v>
      </c>
      <c r="J90" s="145">
        <f t="shared" si="45"/>
        <v>0</v>
      </c>
      <c r="K90" s="147">
        <f t="shared" si="46"/>
        <v>0</v>
      </c>
      <c r="L90" s="102">
        <f>ROUND(H90*Inputs!$G$82+I90*Inputs!$G$84+J90*Inputs!$G$83,0)</f>
        <v>0</v>
      </c>
      <c r="M90" s="102">
        <f t="shared" si="47"/>
        <v>0</v>
      </c>
    </row>
    <row r="91" spans="2:13" ht="22.5" x14ac:dyDescent="0.2">
      <c r="B91" s="166" t="s">
        <v>275</v>
      </c>
      <c r="C91" s="224">
        <v>2</v>
      </c>
      <c r="D91" s="225">
        <v>0</v>
      </c>
      <c r="E91" s="224">
        <v>1</v>
      </c>
      <c r="F91" s="224">
        <f t="shared" si="54"/>
        <v>2</v>
      </c>
      <c r="G91" s="227">
        <f>G72</f>
        <v>0</v>
      </c>
      <c r="H91" s="226">
        <f t="shared" si="43"/>
        <v>0</v>
      </c>
      <c r="I91" s="226">
        <f t="shared" si="44"/>
        <v>0</v>
      </c>
      <c r="J91" s="226">
        <f t="shared" si="45"/>
        <v>0</v>
      </c>
      <c r="K91" s="147">
        <f t="shared" si="46"/>
        <v>0</v>
      </c>
      <c r="L91" s="225">
        <f>ROUND(H91*Inputs!$G$82+I91*Inputs!$G$84+J91*Inputs!$G$83,0)</f>
        <v>0</v>
      </c>
      <c r="M91" s="225">
        <f t="shared" si="47"/>
        <v>0</v>
      </c>
    </row>
    <row r="92" spans="2:13" x14ac:dyDescent="0.2">
      <c r="B92" s="168" t="s">
        <v>218</v>
      </c>
      <c r="C92" s="20">
        <v>75</v>
      </c>
      <c r="D92" s="102">
        <v>0</v>
      </c>
      <c r="E92" s="20">
        <v>1</v>
      </c>
      <c r="F92" s="20">
        <f t="shared" si="54"/>
        <v>75</v>
      </c>
      <c r="G92" s="266">
        <v>0.66</v>
      </c>
      <c r="H92" s="145">
        <f t="shared" si="43"/>
        <v>49.5</v>
      </c>
      <c r="I92" s="145">
        <f t="shared" si="44"/>
        <v>4.95</v>
      </c>
      <c r="J92" s="145">
        <f t="shared" si="45"/>
        <v>2.4750000000000001</v>
      </c>
      <c r="K92" s="147">
        <f t="shared" si="46"/>
        <v>56.925000000000004</v>
      </c>
      <c r="L92" s="102">
        <f>ROUND(H92*Inputs!$G$82+I92*Inputs!$G$84+J92*Inputs!$G$83,0)</f>
        <v>5634</v>
      </c>
      <c r="M92" s="102">
        <f t="shared" si="47"/>
        <v>0</v>
      </c>
    </row>
    <row r="93" spans="2:13" x14ac:dyDescent="0.2">
      <c r="B93" s="168" t="s">
        <v>219</v>
      </c>
      <c r="C93" s="20">
        <v>3</v>
      </c>
      <c r="D93" s="102">
        <v>0</v>
      </c>
      <c r="E93" s="20">
        <v>1</v>
      </c>
      <c r="F93" s="145">
        <f t="shared" si="54"/>
        <v>3</v>
      </c>
      <c r="G93" s="266">
        <v>0.66</v>
      </c>
      <c r="H93" s="145">
        <f t="shared" si="43"/>
        <v>1.98</v>
      </c>
      <c r="I93" s="145">
        <f t="shared" si="44"/>
        <v>0.19800000000000001</v>
      </c>
      <c r="J93" s="145">
        <f t="shared" si="45"/>
        <v>9.9000000000000005E-2</v>
      </c>
      <c r="K93" s="145">
        <f t="shared" si="46"/>
        <v>2.2770000000000001</v>
      </c>
      <c r="L93" s="102">
        <f>ROUND(H93*Inputs!$G$82+I93*Inputs!$G$84+J93*Inputs!$G$83,0)</f>
        <v>225</v>
      </c>
      <c r="M93" s="102">
        <f t="shared" si="47"/>
        <v>0</v>
      </c>
    </row>
    <row r="94" spans="2:13" ht="33.75" x14ac:dyDescent="0.2">
      <c r="B94" s="166" t="s">
        <v>271</v>
      </c>
      <c r="C94" s="20">
        <v>1</v>
      </c>
      <c r="D94" s="102">
        <v>0</v>
      </c>
      <c r="E94" s="20">
        <v>1</v>
      </c>
      <c r="F94" s="145">
        <f t="shared" si="54"/>
        <v>1</v>
      </c>
      <c r="G94" s="266">
        <v>0.66</v>
      </c>
      <c r="H94" s="145">
        <f t="shared" ref="H94" si="55">G94*F94</f>
        <v>0.66</v>
      </c>
      <c r="I94" s="145">
        <f t="shared" ref="I94" si="56">H94*0.1</f>
        <v>6.6000000000000003E-2</v>
      </c>
      <c r="J94" s="145">
        <f t="shared" ref="J94" si="57">H94*0.05</f>
        <v>3.3000000000000002E-2</v>
      </c>
      <c r="K94" s="145">
        <f t="shared" ref="K94" si="58">SUM(H94:J94)</f>
        <v>0.75900000000000001</v>
      </c>
      <c r="L94" s="102">
        <f>ROUND(H94*Inputs!$G$82+I94*Inputs!$G$84+J94*Inputs!$G$83,0)</f>
        <v>75</v>
      </c>
      <c r="M94" s="102">
        <f t="shared" ref="M94" si="59">D94*E94*G94</f>
        <v>0</v>
      </c>
    </row>
    <row r="95" spans="2:13" x14ac:dyDescent="0.2">
      <c r="B95" s="168" t="s">
        <v>272</v>
      </c>
      <c r="C95" s="20">
        <v>1</v>
      </c>
      <c r="D95" s="102">
        <v>0</v>
      </c>
      <c r="E95" s="20">
        <v>1</v>
      </c>
      <c r="F95" s="145">
        <f t="shared" ref="F95" si="60">C95*E95</f>
        <v>1</v>
      </c>
      <c r="G95" s="266">
        <v>0.66</v>
      </c>
      <c r="H95" s="145">
        <f t="shared" ref="H95" si="61">G95*F95</f>
        <v>0.66</v>
      </c>
      <c r="I95" s="145">
        <f t="shared" ref="I95" si="62">H95*0.1</f>
        <v>6.6000000000000003E-2</v>
      </c>
      <c r="J95" s="145">
        <f t="shared" ref="J95" si="63">H95*0.05</f>
        <v>3.3000000000000002E-2</v>
      </c>
      <c r="K95" s="145">
        <f t="shared" ref="K95" si="64">SUM(H95:J95)</f>
        <v>0.75900000000000001</v>
      </c>
      <c r="L95" s="102">
        <f>ROUND(H95*Inputs!$G$82+I95*Inputs!$G$84+J95*Inputs!$G$83,0)</f>
        <v>75</v>
      </c>
      <c r="M95" s="102">
        <f t="shared" ref="M95" si="65">D95*E95*G95</f>
        <v>0</v>
      </c>
    </row>
    <row r="96" spans="2:13" x14ac:dyDescent="0.2">
      <c r="B96" s="168" t="s">
        <v>220</v>
      </c>
      <c r="C96" s="20">
        <v>2</v>
      </c>
      <c r="D96" s="102">
        <v>0</v>
      </c>
      <c r="E96" s="20">
        <v>1</v>
      </c>
      <c r="F96" s="145">
        <f t="shared" ref="F96:F99" si="66">C96*E96</f>
        <v>2</v>
      </c>
      <c r="G96" s="266">
        <v>0.66</v>
      </c>
      <c r="H96" s="145">
        <f t="shared" ref="H96:H99" si="67">G96*F96</f>
        <v>1.32</v>
      </c>
      <c r="I96" s="145">
        <f t="shared" ref="I96:I99" si="68">H96*0.1</f>
        <v>0.13200000000000001</v>
      </c>
      <c r="J96" s="145">
        <f t="shared" ref="J96:J99" si="69">H96*0.05</f>
        <v>6.6000000000000003E-2</v>
      </c>
      <c r="K96" s="145">
        <f t="shared" ref="K96:K99" si="70">SUM(H96:J96)</f>
        <v>1.518</v>
      </c>
      <c r="L96" s="102">
        <f>ROUND(H96*Inputs!$G$82+I96*Inputs!$G$84+J96*Inputs!$G$83,0)</f>
        <v>150</v>
      </c>
      <c r="M96" s="102">
        <f t="shared" ref="M96:M99" si="71">D96*E96*G96</f>
        <v>0</v>
      </c>
    </row>
    <row r="97" spans="2:15" x14ac:dyDescent="0.2">
      <c r="B97" s="168" t="s">
        <v>273</v>
      </c>
      <c r="C97" s="20">
        <v>10</v>
      </c>
      <c r="D97" s="102">
        <v>0</v>
      </c>
      <c r="E97" s="20">
        <v>1</v>
      </c>
      <c r="F97" s="20">
        <f t="shared" si="66"/>
        <v>10</v>
      </c>
      <c r="G97" s="21">
        <v>0</v>
      </c>
      <c r="H97" s="145">
        <f t="shared" si="67"/>
        <v>0</v>
      </c>
      <c r="I97" s="145">
        <f t="shared" si="68"/>
        <v>0</v>
      </c>
      <c r="J97" s="145">
        <f t="shared" si="69"/>
        <v>0</v>
      </c>
      <c r="K97" s="147">
        <f t="shared" si="70"/>
        <v>0</v>
      </c>
      <c r="L97" s="102">
        <f>ROUND(H97*Inputs!$G$82+I97*Inputs!$G$84+J97*Inputs!$G$83,0)</f>
        <v>0</v>
      </c>
      <c r="M97" s="102">
        <f t="shared" si="71"/>
        <v>0</v>
      </c>
    </row>
    <row r="98" spans="2:15" ht="21.6" customHeight="1" x14ac:dyDescent="0.2">
      <c r="B98" s="166" t="s">
        <v>274</v>
      </c>
      <c r="C98" s="20">
        <v>10</v>
      </c>
      <c r="D98" s="102">
        <v>0</v>
      </c>
      <c r="E98" s="20">
        <v>1</v>
      </c>
      <c r="F98" s="20">
        <f t="shared" ref="F98" si="72">C98*E98</f>
        <v>10</v>
      </c>
      <c r="G98" s="21">
        <v>0</v>
      </c>
      <c r="H98" s="145">
        <f t="shared" ref="H98" si="73">G98*F98</f>
        <v>0</v>
      </c>
      <c r="I98" s="145">
        <f t="shared" ref="I98" si="74">H98*0.1</f>
        <v>0</v>
      </c>
      <c r="J98" s="145">
        <f t="shared" ref="J98" si="75">H98*0.05</f>
        <v>0</v>
      </c>
      <c r="K98" s="147">
        <f t="shared" ref="K98" si="76">SUM(H98:J98)</f>
        <v>0</v>
      </c>
      <c r="L98" s="102">
        <f>ROUND(H98*Inputs!$G$82+I98*Inputs!$G$84+J98*Inputs!$G$83,0)</f>
        <v>0</v>
      </c>
      <c r="M98" s="102">
        <f t="shared" ref="M98" si="77">D98*E98*G98</f>
        <v>0</v>
      </c>
    </row>
    <row r="99" spans="2:15" ht="22.5" x14ac:dyDescent="0.2">
      <c r="B99" s="166" t="s">
        <v>276</v>
      </c>
      <c r="C99" s="20">
        <v>0.4</v>
      </c>
      <c r="D99" s="102">
        <v>0</v>
      </c>
      <c r="E99" s="20">
        <v>365</v>
      </c>
      <c r="F99" s="20">
        <f t="shared" si="66"/>
        <v>146</v>
      </c>
      <c r="G99" s="266">
        <v>0.66</v>
      </c>
      <c r="H99" s="145">
        <f t="shared" si="67"/>
        <v>96.36</v>
      </c>
      <c r="I99" s="145">
        <f t="shared" si="68"/>
        <v>9.636000000000001</v>
      </c>
      <c r="J99" s="145">
        <f t="shared" si="69"/>
        <v>4.8180000000000005</v>
      </c>
      <c r="K99" s="147">
        <f t="shared" si="70"/>
        <v>110.81399999999999</v>
      </c>
      <c r="L99" s="102">
        <f>ROUND(H99*Inputs!$G$82+I99*Inputs!$G$84+J99*Inputs!$G$83,0)</f>
        <v>10968</v>
      </c>
      <c r="M99" s="102">
        <f t="shared" si="71"/>
        <v>0</v>
      </c>
    </row>
    <row r="100" spans="2:15" x14ac:dyDescent="0.2">
      <c r="B100" s="168" t="s">
        <v>277</v>
      </c>
      <c r="C100" s="20">
        <v>1</v>
      </c>
      <c r="D100" s="102">
        <v>0</v>
      </c>
      <c r="E100" s="20">
        <v>365</v>
      </c>
      <c r="F100" s="20">
        <f t="shared" ref="F100" si="78">C100*E100</f>
        <v>365</v>
      </c>
      <c r="G100" s="266">
        <f>G25</f>
        <v>0.66</v>
      </c>
      <c r="H100" s="145">
        <f t="shared" ref="H100" si="79">G100*F100</f>
        <v>240.9</v>
      </c>
      <c r="I100" s="145">
        <f t="shared" ref="I100" si="80">H100*0.1</f>
        <v>24.090000000000003</v>
      </c>
      <c r="J100" s="145">
        <f t="shared" ref="J100" si="81">H100*0.05</f>
        <v>12.045000000000002</v>
      </c>
      <c r="K100" s="147">
        <f t="shared" ref="K100" si="82">SUM(H100:J100)</f>
        <v>277.03500000000003</v>
      </c>
      <c r="L100" s="102">
        <f>ROUND(H100*Inputs!$G$82+I100*Inputs!$G$84+J100*Inputs!$G$83,0)</f>
        <v>27420</v>
      </c>
      <c r="M100" s="102">
        <f t="shared" ref="M100" si="83">D100*E100*G100</f>
        <v>0</v>
      </c>
    </row>
    <row r="101" spans="2:15" x14ac:dyDescent="0.2">
      <c r="B101" s="165" t="s">
        <v>266</v>
      </c>
      <c r="C101" s="20">
        <v>16</v>
      </c>
      <c r="D101" s="102">
        <v>0</v>
      </c>
      <c r="E101" s="20">
        <v>1</v>
      </c>
      <c r="F101" s="20">
        <f t="shared" si="54"/>
        <v>16</v>
      </c>
      <c r="G101" s="266">
        <v>207.66</v>
      </c>
      <c r="H101" s="145">
        <f t="shared" si="43"/>
        <v>3322.56</v>
      </c>
      <c r="I101" s="145">
        <f t="shared" si="44"/>
        <v>332.25600000000003</v>
      </c>
      <c r="J101" s="145">
        <f t="shared" si="45"/>
        <v>166.12800000000001</v>
      </c>
      <c r="K101" s="147">
        <f t="shared" si="46"/>
        <v>3820.944</v>
      </c>
      <c r="L101" s="102">
        <f>ROUND(H101*Inputs!$G$82+I101*Inputs!$G$84+J101*Inputs!$G$83,0)</f>
        <v>378187</v>
      </c>
      <c r="M101" s="102">
        <f t="shared" si="47"/>
        <v>0</v>
      </c>
    </row>
    <row r="102" spans="2:15" x14ac:dyDescent="0.2">
      <c r="B102" s="165" t="s">
        <v>69</v>
      </c>
      <c r="C102" s="20" t="s">
        <v>58</v>
      </c>
      <c r="D102" s="102"/>
      <c r="E102" s="20"/>
      <c r="F102" s="20"/>
      <c r="G102" s="20"/>
      <c r="H102" s="145"/>
      <c r="I102" s="145"/>
      <c r="J102" s="145"/>
      <c r="K102" s="145"/>
      <c r="L102" s="102"/>
      <c r="M102" s="102"/>
    </row>
    <row r="103" spans="2:15" ht="12" thickBot="1" x14ac:dyDescent="0.25">
      <c r="B103" s="177" t="s">
        <v>56</v>
      </c>
      <c r="C103" s="178"/>
      <c r="D103" s="178"/>
      <c r="E103" s="178"/>
      <c r="F103" s="178"/>
      <c r="G103" s="178"/>
      <c r="H103" s="212">
        <f>SUM(H85:H101)</f>
        <v>3817.56</v>
      </c>
      <c r="I103" s="212">
        <f>SUM(I85:I101)</f>
        <v>381.75600000000003</v>
      </c>
      <c r="J103" s="212">
        <f>SUM(J85:J101)</f>
        <v>190.87800000000001</v>
      </c>
      <c r="K103" s="212">
        <f>SUM(K85:K101)</f>
        <v>4390.1939999999995</v>
      </c>
      <c r="L103" s="213">
        <f>SUM(L85:L101)</f>
        <v>434528</v>
      </c>
      <c r="M103" s="213">
        <f>SUM(M85:M100)</f>
        <v>0</v>
      </c>
    </row>
    <row r="104" spans="2:15" s="142" customFormat="1" ht="13.5" customHeight="1" thickTop="1" x14ac:dyDescent="0.25">
      <c r="B104" s="175" t="s">
        <v>31</v>
      </c>
      <c r="C104" s="176"/>
      <c r="D104" s="176"/>
      <c r="E104" s="176"/>
      <c r="F104" s="176"/>
      <c r="G104" s="176"/>
      <c r="H104" s="214">
        <f t="shared" ref="H104:M104" si="84">H103+H79</f>
        <v>8890.5000000000018</v>
      </c>
      <c r="I104" s="214">
        <f t="shared" si="84"/>
        <v>889.05000000000018</v>
      </c>
      <c r="J104" s="214">
        <f t="shared" si="84"/>
        <v>444.52500000000009</v>
      </c>
      <c r="K104" s="214">
        <f t="shared" si="84"/>
        <v>10224.075000000001</v>
      </c>
      <c r="L104" s="215">
        <f t="shared" si="84"/>
        <v>1011951</v>
      </c>
      <c r="M104" s="215">
        <f t="shared" si="84"/>
        <v>670614.77999999991</v>
      </c>
      <c r="O104" s="143"/>
    </row>
    <row r="105" spans="2:15" ht="7.5" customHeight="1" x14ac:dyDescent="0.2">
      <c r="B105" s="170"/>
      <c r="G105" s="11"/>
      <c r="H105" s="9"/>
      <c r="I105" s="10"/>
      <c r="J105" s="10"/>
      <c r="K105" s="12"/>
      <c r="L105" s="12"/>
      <c r="M105" s="12"/>
    </row>
    <row r="106" spans="2:15" x14ac:dyDescent="0.2">
      <c r="B106" s="170"/>
      <c r="G106" s="9"/>
      <c r="H106" s="9"/>
      <c r="I106" s="10"/>
      <c r="J106" s="135" t="s">
        <v>51</v>
      </c>
      <c r="K106" s="135" t="s">
        <v>70</v>
      </c>
      <c r="L106" s="146" t="s">
        <v>71</v>
      </c>
      <c r="M106" s="146" t="s">
        <v>43</v>
      </c>
    </row>
    <row r="107" spans="2:15" x14ac:dyDescent="0.2">
      <c r="B107" s="170"/>
      <c r="G107" s="136" t="s">
        <v>72</v>
      </c>
      <c r="H107" s="137"/>
      <c r="I107" s="141"/>
      <c r="J107" s="135">
        <f>H104+I104+J104</f>
        <v>10224.075000000003</v>
      </c>
      <c r="K107" s="108">
        <f>L104</f>
        <v>1011951</v>
      </c>
      <c r="L107" s="108">
        <f>M104</f>
        <v>670614.77999999991</v>
      </c>
      <c r="M107" s="108">
        <f>L107+K107</f>
        <v>1682565.7799999998</v>
      </c>
    </row>
    <row r="108" spans="2:15" ht="7.5" customHeight="1" x14ac:dyDescent="0.2">
      <c r="B108" s="170"/>
      <c r="G108" s="11"/>
      <c r="H108" s="9"/>
      <c r="I108" s="10"/>
      <c r="J108" s="10"/>
      <c r="K108" s="12"/>
      <c r="L108" s="12"/>
      <c r="M108" s="12"/>
    </row>
    <row r="109" spans="2:15" x14ac:dyDescent="0.2">
      <c r="B109" s="170"/>
      <c r="G109" s="136" t="s">
        <v>73</v>
      </c>
      <c r="H109" s="137"/>
      <c r="I109" s="138"/>
      <c r="J109" s="138"/>
      <c r="K109" s="139"/>
      <c r="L109" s="140"/>
      <c r="M109" s="108">
        <f>L7++M10+M13+M16+M40+M43</f>
        <v>1653610.64</v>
      </c>
    </row>
    <row r="110" spans="2:15" x14ac:dyDescent="0.2">
      <c r="B110" s="171"/>
      <c r="C110" s="172"/>
      <c r="D110" s="172"/>
      <c r="E110" s="172"/>
      <c r="F110" s="172"/>
      <c r="G110" s="136" t="s">
        <v>74</v>
      </c>
      <c r="H110" s="173"/>
      <c r="I110" s="173"/>
      <c r="J110" s="173"/>
      <c r="K110" s="139"/>
      <c r="L110" s="174"/>
      <c r="M110" s="108">
        <f>M104</f>
        <v>670614.77999999991</v>
      </c>
    </row>
    <row r="111" spans="2:15" ht="8.25" customHeight="1" x14ac:dyDescent="0.2"/>
    <row r="112" spans="2:15" x14ac:dyDescent="0.2">
      <c r="B112" s="296" t="s">
        <v>86</v>
      </c>
      <c r="C112" s="296"/>
      <c r="D112" s="296"/>
      <c r="E112" s="296"/>
      <c r="F112" s="296"/>
      <c r="G112" s="296"/>
      <c r="H112" s="296"/>
      <c r="I112" s="296"/>
      <c r="J112" s="296"/>
      <c r="K112" s="296"/>
      <c r="L112" s="296"/>
      <c r="M112" s="296"/>
    </row>
    <row r="113" spans="2:13" ht="21.6" customHeight="1" x14ac:dyDescent="0.2">
      <c r="B113" s="295" t="s">
        <v>279</v>
      </c>
      <c r="C113" s="295"/>
      <c r="D113" s="295"/>
      <c r="E113" s="295"/>
      <c r="F113" s="295"/>
      <c r="G113" s="295"/>
      <c r="H113" s="295"/>
      <c r="I113" s="295"/>
      <c r="J113" s="295"/>
      <c r="K113" s="295"/>
      <c r="L113" s="295"/>
      <c r="M113" s="295"/>
    </row>
    <row r="114" spans="2:13" ht="42.6" customHeight="1" x14ac:dyDescent="0.2">
      <c r="B114" s="295" t="s">
        <v>278</v>
      </c>
      <c r="C114" s="295"/>
      <c r="D114" s="295"/>
      <c r="E114" s="295"/>
      <c r="F114" s="295"/>
      <c r="G114" s="295"/>
      <c r="H114" s="295"/>
      <c r="I114" s="295"/>
      <c r="J114" s="295"/>
      <c r="K114" s="295"/>
      <c r="L114" s="295"/>
      <c r="M114" s="295"/>
    </row>
    <row r="115" spans="2:13" ht="11.45" customHeight="1" x14ac:dyDescent="0.2">
      <c r="B115" s="295" t="s">
        <v>280</v>
      </c>
      <c r="C115" s="295"/>
      <c r="D115" s="295"/>
      <c r="E115" s="295"/>
      <c r="F115" s="295"/>
      <c r="G115" s="295"/>
      <c r="H115" s="295"/>
      <c r="I115" s="295"/>
      <c r="J115" s="295"/>
      <c r="K115" s="295"/>
      <c r="L115" s="295"/>
      <c r="M115" s="295"/>
    </row>
    <row r="116" spans="2:13" ht="11.25" customHeight="1" x14ac:dyDescent="0.2">
      <c r="B116" s="294" t="s">
        <v>281</v>
      </c>
      <c r="C116" s="294"/>
      <c r="D116" s="294"/>
      <c r="E116" s="294"/>
      <c r="F116" s="294"/>
      <c r="G116" s="294"/>
      <c r="H116" s="294"/>
      <c r="I116" s="294"/>
      <c r="J116" s="294"/>
      <c r="K116" s="294"/>
      <c r="L116" s="294"/>
      <c r="M116" s="294"/>
    </row>
    <row r="117" spans="2:13" ht="12.6" customHeight="1" x14ac:dyDescent="0.2">
      <c r="B117" s="295" t="s">
        <v>283</v>
      </c>
      <c r="C117" s="295"/>
      <c r="D117" s="295"/>
      <c r="E117" s="295"/>
      <c r="F117" s="295"/>
      <c r="G117" s="295"/>
      <c r="H117" s="295"/>
      <c r="I117" s="295"/>
      <c r="J117" s="295"/>
      <c r="K117" s="295"/>
      <c r="L117" s="295"/>
      <c r="M117" s="295"/>
    </row>
    <row r="118" spans="2:13" ht="13.15" customHeight="1" x14ac:dyDescent="0.2">
      <c r="B118" s="295" t="s">
        <v>284</v>
      </c>
      <c r="C118" s="295"/>
      <c r="D118" s="295"/>
      <c r="E118" s="295"/>
      <c r="F118" s="295"/>
      <c r="G118" s="295"/>
      <c r="H118" s="295"/>
      <c r="I118" s="295"/>
      <c r="J118" s="295"/>
      <c r="K118" s="295"/>
      <c r="L118" s="295"/>
      <c r="M118" s="295"/>
    </row>
    <row r="119" spans="2:13" ht="13.15" customHeight="1" x14ac:dyDescent="0.2">
      <c r="B119" s="295" t="s">
        <v>285</v>
      </c>
      <c r="C119" s="295"/>
      <c r="D119" s="295"/>
      <c r="E119" s="295"/>
      <c r="F119" s="295"/>
      <c r="G119" s="295"/>
      <c r="H119" s="295"/>
      <c r="I119" s="295"/>
      <c r="J119" s="295"/>
      <c r="K119" s="295"/>
      <c r="L119" s="295"/>
      <c r="M119" s="295"/>
    </row>
    <row r="120" spans="2:13" ht="22.9" customHeight="1" x14ac:dyDescent="0.2">
      <c r="B120" s="295" t="s">
        <v>286</v>
      </c>
      <c r="C120" s="295"/>
      <c r="D120" s="295"/>
      <c r="E120" s="295"/>
      <c r="F120" s="295"/>
      <c r="G120" s="295"/>
      <c r="H120" s="295"/>
      <c r="I120" s="295"/>
      <c r="J120" s="295"/>
      <c r="K120" s="295"/>
      <c r="L120" s="295"/>
      <c r="M120" s="295"/>
    </row>
    <row r="121" spans="2:13" ht="13.9" customHeight="1" x14ac:dyDescent="0.2">
      <c r="B121" s="295" t="s">
        <v>287</v>
      </c>
      <c r="C121" s="295"/>
      <c r="D121" s="295"/>
      <c r="E121" s="295"/>
      <c r="F121" s="295"/>
      <c r="G121" s="295"/>
      <c r="H121" s="295"/>
      <c r="I121" s="295"/>
      <c r="J121" s="295"/>
      <c r="K121" s="295"/>
      <c r="L121" s="295"/>
      <c r="M121" s="295"/>
    </row>
    <row r="122" spans="2:13" x14ac:dyDescent="0.2">
      <c r="B122" s="294" t="s">
        <v>288</v>
      </c>
      <c r="C122" s="294"/>
      <c r="D122" s="294"/>
      <c r="E122" s="294"/>
      <c r="F122" s="294"/>
      <c r="G122" s="294"/>
      <c r="H122" s="294"/>
      <c r="I122" s="294"/>
      <c r="J122" s="294"/>
      <c r="K122" s="294"/>
      <c r="L122" s="294"/>
      <c r="M122" s="294"/>
    </row>
    <row r="123" spans="2:13" x14ac:dyDescent="0.2">
      <c r="B123" s="292" t="s">
        <v>289</v>
      </c>
      <c r="C123" s="292"/>
      <c r="D123" s="292"/>
      <c r="E123" s="292"/>
      <c r="F123" s="292"/>
      <c r="G123" s="292"/>
      <c r="H123" s="292"/>
      <c r="I123" s="292"/>
      <c r="J123" s="292"/>
      <c r="K123" s="292"/>
      <c r="L123" s="292"/>
      <c r="M123" s="292"/>
    </row>
    <row r="124" spans="2:13" ht="11.25" customHeight="1" x14ac:dyDescent="0.2"/>
    <row r="125" spans="2:13" ht="11.25" customHeight="1" x14ac:dyDescent="0.2"/>
  </sheetData>
  <sheetProtection algorithmName="SHA-512" hashValue="jx3S849KcA7zacgA3O9nbzPVqVcxSgVCZInEvYIIWZ8OuibzevbS4+I3tW7OemNJRyn7UKFn6kB5sSX+P1VciQ==" saltValue="TOoO+ckBUqLoh215dPXaqA==" spinCount="100000" sheet="1" objects="1" scenarios="1"/>
  <mergeCells count="13">
    <mergeCell ref="B123:M123"/>
    <mergeCell ref="B2:M2"/>
    <mergeCell ref="B122:M122"/>
    <mergeCell ref="B116:M116"/>
    <mergeCell ref="B120:M120"/>
    <mergeCell ref="B112:M112"/>
    <mergeCell ref="B113:M113"/>
    <mergeCell ref="B114:M114"/>
    <mergeCell ref="B115:M115"/>
    <mergeCell ref="B117:M117"/>
    <mergeCell ref="B118:M118"/>
    <mergeCell ref="B119:M119"/>
    <mergeCell ref="B121:M121"/>
  </mergeCells>
  <printOptions horizontalCentered="1"/>
  <pageMargins left="0.5" right="0.5" top="0.5" bottom="0.5" header="0.3" footer="0.3"/>
  <pageSetup scale="86" fitToHeight="2" orientation="landscape" r:id="rId1"/>
  <rowBreaks count="1" manualBreakCount="1">
    <brk id="79"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A3CEB-08FD-4CAE-986A-905EDE636F32}">
  <sheetPr>
    <tabColor rgb="FF7030A0"/>
  </sheetPr>
  <dimension ref="B2:O123"/>
  <sheetViews>
    <sheetView zoomScaleNormal="100" zoomScaleSheetLayoutView="80" workbookViewId="0">
      <pane ySplit="3" topLeftCell="A73" activePane="bottomLeft" state="frozen"/>
      <selection activeCell="Q53" sqref="Q53"/>
      <selection pane="bottomLeft"/>
    </sheetView>
  </sheetViews>
  <sheetFormatPr defaultColWidth="9.140625" defaultRowHeight="11.25" x14ac:dyDescent="0.2"/>
  <cols>
    <col min="1" max="1" width="2.140625" style="16" customWidth="1"/>
    <col min="2" max="2" width="32.5703125" style="16" customWidth="1"/>
    <col min="3" max="4" width="9.28515625" style="16" bestFit="1" customWidth="1"/>
    <col min="5" max="5" width="10.140625" style="16" bestFit="1" customWidth="1"/>
    <col min="6" max="6" width="9.7109375" style="16" customWidth="1"/>
    <col min="7" max="7" width="10.140625" style="16" bestFit="1" customWidth="1"/>
    <col min="8" max="8" width="7.85546875" style="16" bestFit="1" customWidth="1"/>
    <col min="9" max="9" width="8.85546875" style="16" bestFit="1" customWidth="1"/>
    <col min="10" max="10" width="9.7109375" style="16" bestFit="1" customWidth="1"/>
    <col min="11" max="11" width="9.28515625" style="16" bestFit="1" customWidth="1"/>
    <col min="12" max="12" width="9.5703125" style="16" bestFit="1" customWidth="1"/>
    <col min="13" max="13" width="10.140625" style="16" bestFit="1" customWidth="1"/>
    <col min="14" max="14" width="2.5703125" style="16" customWidth="1"/>
    <col min="15" max="15" width="29.140625" style="92" customWidth="1"/>
    <col min="16" max="16384" width="9.140625" style="16"/>
  </cols>
  <sheetData>
    <row r="2" spans="2:13" ht="15.75" x14ac:dyDescent="0.2">
      <c r="B2" s="293" t="s">
        <v>307</v>
      </c>
      <c r="C2" s="293"/>
      <c r="D2" s="293"/>
      <c r="E2" s="293"/>
      <c r="F2" s="293"/>
      <c r="G2" s="293"/>
      <c r="H2" s="293"/>
      <c r="I2" s="293"/>
      <c r="J2" s="293"/>
      <c r="K2" s="293"/>
      <c r="L2" s="293"/>
      <c r="M2" s="293"/>
    </row>
    <row r="3" spans="2:13" s="19" customFormat="1" ht="69.75" customHeight="1" x14ac:dyDescent="0.2">
      <c r="B3" s="144" t="s">
        <v>2</v>
      </c>
      <c r="C3" s="144" t="s">
        <v>3</v>
      </c>
      <c r="D3" s="144" t="s">
        <v>75</v>
      </c>
      <c r="E3" s="144" t="s">
        <v>82</v>
      </c>
      <c r="F3" s="144" t="s">
        <v>99</v>
      </c>
      <c r="G3" s="162" t="s">
        <v>244</v>
      </c>
      <c r="H3" s="163" t="s">
        <v>90</v>
      </c>
      <c r="I3" s="163" t="s">
        <v>84</v>
      </c>
      <c r="J3" s="163" t="s">
        <v>85</v>
      </c>
      <c r="K3" s="163" t="s">
        <v>104</v>
      </c>
      <c r="L3" s="144" t="s">
        <v>245</v>
      </c>
      <c r="M3" s="163" t="s">
        <v>106</v>
      </c>
    </row>
    <row r="4" spans="2:13" ht="10.5" customHeight="1" x14ac:dyDescent="0.2">
      <c r="B4" s="164" t="s">
        <v>57</v>
      </c>
      <c r="C4" s="144" t="s">
        <v>58</v>
      </c>
      <c r="D4" s="20"/>
      <c r="E4" s="20"/>
      <c r="F4" s="20"/>
      <c r="G4" s="20"/>
      <c r="H4" s="20"/>
      <c r="I4" s="20"/>
      <c r="J4" s="20"/>
      <c r="K4" s="20"/>
      <c r="L4" s="20"/>
      <c r="M4" s="20"/>
    </row>
    <row r="5" spans="2:13" ht="10.5" customHeight="1" x14ac:dyDescent="0.2">
      <c r="B5" s="164" t="s">
        <v>59</v>
      </c>
      <c r="C5" s="144" t="s">
        <v>58</v>
      </c>
      <c r="D5" s="20"/>
      <c r="E5" s="20"/>
      <c r="F5" s="20"/>
      <c r="G5" s="20"/>
      <c r="H5" s="20"/>
      <c r="I5" s="20"/>
      <c r="J5" s="20"/>
      <c r="K5" s="20"/>
      <c r="L5" s="20"/>
      <c r="M5" s="20"/>
    </row>
    <row r="6" spans="2:13" ht="10.5" customHeight="1" x14ac:dyDescent="0.2">
      <c r="B6" s="164" t="s">
        <v>60</v>
      </c>
      <c r="C6" s="144"/>
      <c r="D6" s="20"/>
      <c r="E6" s="20"/>
      <c r="F6" s="20"/>
      <c r="G6" s="20"/>
      <c r="H6" s="20"/>
      <c r="I6" s="20"/>
      <c r="J6" s="20"/>
      <c r="K6" s="20"/>
      <c r="L6" s="20"/>
      <c r="M6" s="20"/>
    </row>
    <row r="7" spans="2:13" x14ac:dyDescent="0.2">
      <c r="B7" s="165" t="s">
        <v>246</v>
      </c>
      <c r="C7" s="20">
        <v>24</v>
      </c>
      <c r="D7" s="102">
        <v>0</v>
      </c>
      <c r="E7" s="20">
        <v>1</v>
      </c>
      <c r="F7" s="145">
        <f>C7*E7</f>
        <v>24</v>
      </c>
      <c r="G7" s="265">
        <v>0.66</v>
      </c>
      <c r="H7" s="145">
        <f>G7*F7</f>
        <v>15.84</v>
      </c>
      <c r="I7" s="145">
        <f>H7*0.1</f>
        <v>1.5840000000000001</v>
      </c>
      <c r="J7" s="145">
        <f>H7*0.05</f>
        <v>0.79200000000000004</v>
      </c>
      <c r="K7" s="145">
        <f>SUM(H7:J7)</f>
        <v>18.216000000000001</v>
      </c>
      <c r="L7" s="102">
        <f>ROUND(H7*Inputs!$G$82+I7*Inputs!$G$84+J7*Inputs!$G$83,0)</f>
        <v>1803</v>
      </c>
      <c r="M7" s="102">
        <f>D7*E7*G7</f>
        <v>0</v>
      </c>
    </row>
    <row r="8" spans="2:13" x14ac:dyDescent="0.2">
      <c r="B8" s="165" t="s">
        <v>61</v>
      </c>
      <c r="C8" s="20"/>
      <c r="D8" s="102"/>
      <c r="E8" s="20"/>
      <c r="F8" s="145"/>
      <c r="G8" s="145"/>
      <c r="H8" s="145"/>
      <c r="I8" s="145"/>
      <c r="J8" s="145"/>
      <c r="K8" s="145"/>
      <c r="L8" s="102"/>
      <c r="M8" s="102"/>
    </row>
    <row r="9" spans="2:13" x14ac:dyDescent="0.2">
      <c r="B9" s="168" t="s">
        <v>247</v>
      </c>
      <c r="C9" s="20"/>
      <c r="D9" s="102"/>
      <c r="E9" s="20"/>
      <c r="F9" s="145"/>
      <c r="G9" s="145"/>
      <c r="H9" s="145"/>
      <c r="I9" s="145"/>
      <c r="J9" s="145"/>
      <c r="K9" s="145"/>
      <c r="L9" s="102"/>
      <c r="M9" s="102"/>
    </row>
    <row r="10" spans="2:13" x14ac:dyDescent="0.2">
      <c r="B10" s="167" t="s">
        <v>93</v>
      </c>
      <c r="C10" s="20">
        <v>0</v>
      </c>
      <c r="D10" s="102">
        <f>Inputs!F21</f>
        <v>1560881</v>
      </c>
      <c r="E10" s="20">
        <v>1</v>
      </c>
      <c r="F10" s="145">
        <f>C10*E10</f>
        <v>0</v>
      </c>
      <c r="G10" s="265">
        <v>70.33</v>
      </c>
      <c r="H10" s="145">
        <f>G10*F10</f>
        <v>0</v>
      </c>
      <c r="I10" s="145">
        <f>H10*0.1</f>
        <v>0</v>
      </c>
      <c r="J10" s="145">
        <f>H10*0.05</f>
        <v>0</v>
      </c>
      <c r="K10" s="145">
        <f>SUM(H10:J10)</f>
        <v>0</v>
      </c>
      <c r="L10" s="102">
        <f>ROUND(H10*Inputs!$G$82+I10*Inputs!$G$84+J10*Inputs!$G$83,0)</f>
        <v>0</v>
      </c>
      <c r="M10" s="102">
        <f>D10*E10*G10</f>
        <v>109776760.73</v>
      </c>
    </row>
    <row r="11" spans="2:13" x14ac:dyDescent="0.2">
      <c r="B11" s="167" t="s">
        <v>94</v>
      </c>
      <c r="C11" s="20">
        <v>0</v>
      </c>
      <c r="D11" s="102">
        <f>Inputs!G21</f>
        <v>296308</v>
      </c>
      <c r="E11" s="20">
        <v>1</v>
      </c>
      <c r="F11" s="145">
        <f>C11*E11</f>
        <v>0</v>
      </c>
      <c r="G11" s="265">
        <v>70.33</v>
      </c>
      <c r="H11" s="145">
        <f>G11*F11</f>
        <v>0</v>
      </c>
      <c r="I11" s="145">
        <f>H11*0.1</f>
        <v>0</v>
      </c>
      <c r="J11" s="145">
        <f>H11*0.05</f>
        <v>0</v>
      </c>
      <c r="K11" s="145">
        <f>SUM(H11:J11)</f>
        <v>0</v>
      </c>
      <c r="L11" s="102">
        <f>ROUND(H11*Inputs!$G$82+I11*Inputs!$G$84+J11*Inputs!$G$83,0)</f>
        <v>0</v>
      </c>
      <c r="M11" s="102">
        <f>D11*E11*G11</f>
        <v>20839341.640000001</v>
      </c>
    </row>
    <row r="12" spans="2:13" x14ac:dyDescent="0.2">
      <c r="B12" s="168" t="s">
        <v>149</v>
      </c>
      <c r="C12" s="20"/>
      <c r="D12" s="102"/>
      <c r="E12" s="20"/>
      <c r="F12" s="145"/>
      <c r="G12" s="145"/>
      <c r="H12" s="145"/>
      <c r="I12" s="145"/>
      <c r="J12" s="145"/>
      <c r="K12" s="145"/>
      <c r="L12" s="102"/>
      <c r="M12" s="102"/>
    </row>
    <row r="13" spans="2:13" x14ac:dyDescent="0.2">
      <c r="B13" s="167" t="s">
        <v>93</v>
      </c>
      <c r="C13" s="20">
        <v>0</v>
      </c>
      <c r="D13" s="102">
        <f>Inputs!C31</f>
        <v>81353</v>
      </c>
      <c r="E13" s="20">
        <v>1</v>
      </c>
      <c r="F13" s="145">
        <f>C13*E13</f>
        <v>0</v>
      </c>
      <c r="G13" s="265">
        <v>70.33</v>
      </c>
      <c r="H13" s="145">
        <f>G13*F13</f>
        <v>0</v>
      </c>
      <c r="I13" s="145">
        <f>H13*0.1</f>
        <v>0</v>
      </c>
      <c r="J13" s="145">
        <f>H13*0.05</f>
        <v>0</v>
      </c>
      <c r="K13" s="145">
        <f>SUM(H13:J13)</f>
        <v>0</v>
      </c>
      <c r="L13" s="102">
        <f>ROUND(H13*Inputs!$G$82+I13*Inputs!$G$84+J13*Inputs!$G$83,0)</f>
        <v>0</v>
      </c>
      <c r="M13" s="102">
        <f>D13*E13*G13</f>
        <v>5721556.4900000002</v>
      </c>
    </row>
    <row r="14" spans="2:13" x14ac:dyDescent="0.2">
      <c r="B14" s="167" t="s">
        <v>94</v>
      </c>
      <c r="C14" s="20">
        <v>0</v>
      </c>
      <c r="D14" s="102">
        <f>Inputs!D31</f>
        <v>36101</v>
      </c>
      <c r="E14" s="20">
        <v>1</v>
      </c>
      <c r="F14" s="145">
        <f>C14*E14</f>
        <v>0</v>
      </c>
      <c r="G14" s="265">
        <v>70.33</v>
      </c>
      <c r="H14" s="145">
        <f>G14*F14</f>
        <v>0</v>
      </c>
      <c r="I14" s="145">
        <f>H14*0.1</f>
        <v>0</v>
      </c>
      <c r="J14" s="145">
        <f>H14*0.05</f>
        <v>0</v>
      </c>
      <c r="K14" s="145">
        <f>SUM(H14:J14)</f>
        <v>0</v>
      </c>
      <c r="L14" s="102">
        <f>ROUND(H14*Inputs!$G$82+I14*Inputs!$G$84+J14*Inputs!$G$83,0)</f>
        <v>0</v>
      </c>
      <c r="M14" s="102">
        <f>D14*E14*G14</f>
        <v>2538983.33</v>
      </c>
    </row>
    <row r="15" spans="2:13" x14ac:dyDescent="0.2">
      <c r="B15" s="168" t="s">
        <v>150</v>
      </c>
      <c r="C15" s="20"/>
      <c r="D15" s="102"/>
      <c r="E15" s="20"/>
      <c r="F15" s="145"/>
      <c r="G15" s="145"/>
      <c r="H15" s="145"/>
      <c r="I15" s="145"/>
      <c r="J15" s="145"/>
      <c r="K15" s="145"/>
      <c r="L15" s="102"/>
      <c r="M15" s="102"/>
    </row>
    <row r="16" spans="2:13" x14ac:dyDescent="0.2">
      <c r="B16" s="167" t="s">
        <v>93</v>
      </c>
      <c r="C16" s="20">
        <v>0</v>
      </c>
      <c r="D16" s="102">
        <f>Inputs!C37</f>
        <v>3720</v>
      </c>
      <c r="E16" s="20">
        <v>1</v>
      </c>
      <c r="F16" s="145">
        <f>C16*E16</f>
        <v>0</v>
      </c>
      <c r="G16" s="265">
        <v>70.33</v>
      </c>
      <c r="H16" s="145">
        <f>G16*F16</f>
        <v>0</v>
      </c>
      <c r="I16" s="145">
        <f>H16*0.1</f>
        <v>0</v>
      </c>
      <c r="J16" s="145">
        <f>H16*0.05</f>
        <v>0</v>
      </c>
      <c r="K16" s="145">
        <f>SUM(H16:J16)</f>
        <v>0</v>
      </c>
      <c r="L16" s="102">
        <f>ROUND(H16*Inputs!$G$82+I16*Inputs!$G$84+J16*Inputs!$G$83,0)</f>
        <v>0</v>
      </c>
      <c r="M16" s="102">
        <f>D16*E16*G16</f>
        <v>261627.6</v>
      </c>
    </row>
    <row r="17" spans="2:13" x14ac:dyDescent="0.2">
      <c r="B17" s="167" t="s">
        <v>94</v>
      </c>
      <c r="C17" s="20">
        <v>0</v>
      </c>
      <c r="D17" s="102">
        <f>Inputs!D37</f>
        <v>1102</v>
      </c>
      <c r="E17" s="20">
        <v>1</v>
      </c>
      <c r="F17" s="145">
        <f>C17*E17</f>
        <v>0</v>
      </c>
      <c r="G17" s="265">
        <v>70.33</v>
      </c>
      <c r="H17" s="145">
        <f>G17*F17</f>
        <v>0</v>
      </c>
      <c r="I17" s="145">
        <f>H17*0.1</f>
        <v>0</v>
      </c>
      <c r="J17" s="145">
        <f>H17*0.05</f>
        <v>0</v>
      </c>
      <c r="K17" s="145">
        <f>SUM(H17:J17)</f>
        <v>0</v>
      </c>
      <c r="L17" s="102">
        <f>ROUND(H17*Inputs!$G$82+I17*Inputs!$G$84+J17*Inputs!$G$83,0)</f>
        <v>0</v>
      </c>
      <c r="M17" s="102">
        <f>D17*E17*G17</f>
        <v>77503.66</v>
      </c>
    </row>
    <row r="18" spans="2:13" ht="22.5" x14ac:dyDescent="0.2">
      <c r="B18" s="166" t="s">
        <v>248</v>
      </c>
      <c r="C18" s="20"/>
      <c r="D18" s="102"/>
      <c r="E18" s="20"/>
      <c r="F18" s="145"/>
      <c r="G18" s="145"/>
      <c r="H18" s="145"/>
      <c r="I18" s="145"/>
      <c r="J18" s="145"/>
      <c r="K18" s="145"/>
      <c r="L18" s="102"/>
      <c r="M18" s="102"/>
    </row>
    <row r="19" spans="2:13" x14ac:dyDescent="0.2">
      <c r="B19" s="167" t="s">
        <v>93</v>
      </c>
      <c r="C19" s="20">
        <v>0</v>
      </c>
      <c r="D19" s="102">
        <f>Inputs!C43</f>
        <v>16250</v>
      </c>
      <c r="E19" s="20">
        <v>1</v>
      </c>
      <c r="F19" s="145">
        <f>C19*E19</f>
        <v>0</v>
      </c>
      <c r="G19" s="145">
        <v>2</v>
      </c>
      <c r="H19" s="145">
        <f>G19*F19</f>
        <v>0</v>
      </c>
      <c r="I19" s="145">
        <f>H19*0.1</f>
        <v>0</v>
      </c>
      <c r="J19" s="145">
        <f>H19*0.05</f>
        <v>0</v>
      </c>
      <c r="K19" s="145">
        <f>SUM(H19:J19)</f>
        <v>0</v>
      </c>
      <c r="L19" s="102">
        <f>ROUND(H19*Inputs!$G$82+I19*Inputs!$G$84+J19*Inputs!$G$83,0)</f>
        <v>0</v>
      </c>
      <c r="M19" s="102">
        <f>D19*E19*G19</f>
        <v>32500</v>
      </c>
    </row>
    <row r="20" spans="2:13" x14ac:dyDescent="0.2">
      <c r="B20" s="167" t="s">
        <v>94</v>
      </c>
      <c r="C20" s="20">
        <v>0</v>
      </c>
      <c r="D20" s="102">
        <f>Inputs!D43</f>
        <v>1750</v>
      </c>
      <c r="E20" s="20">
        <v>1</v>
      </c>
      <c r="F20" s="145">
        <f>C20*E20</f>
        <v>0</v>
      </c>
      <c r="G20" s="145">
        <v>2</v>
      </c>
      <c r="H20" s="145">
        <f>G20*F20</f>
        <v>0</v>
      </c>
      <c r="I20" s="145">
        <f>H20*0.1</f>
        <v>0</v>
      </c>
      <c r="J20" s="145">
        <f>H20*0.05</f>
        <v>0</v>
      </c>
      <c r="K20" s="145">
        <f>SUM(H20:J20)</f>
        <v>0</v>
      </c>
      <c r="L20" s="102">
        <f>ROUND(H20*Inputs!$G$82+I20*Inputs!$G$84+J20*Inputs!$G$83,0)</f>
        <v>0</v>
      </c>
      <c r="M20" s="102">
        <f>D20*E20*G20</f>
        <v>3500</v>
      </c>
    </row>
    <row r="21" spans="2:13" x14ac:dyDescent="0.2">
      <c r="B21" s="166" t="s">
        <v>201</v>
      </c>
      <c r="C21" s="20"/>
      <c r="D21" s="102"/>
      <c r="E21" s="20"/>
      <c r="F21" s="145"/>
      <c r="G21" s="145"/>
      <c r="H21" s="145"/>
      <c r="I21" s="145"/>
      <c r="J21" s="145"/>
      <c r="K21" s="145"/>
      <c r="L21" s="102"/>
      <c r="M21" s="102"/>
    </row>
    <row r="22" spans="2:13" x14ac:dyDescent="0.2">
      <c r="B22" s="167" t="s">
        <v>93</v>
      </c>
      <c r="C22" s="20">
        <v>0</v>
      </c>
      <c r="D22" s="102">
        <f>Inputs!C49</f>
        <v>372</v>
      </c>
      <c r="E22" s="20">
        <v>1</v>
      </c>
      <c r="F22" s="145">
        <f>C22*E22</f>
        <v>0</v>
      </c>
      <c r="G22" s="265">
        <v>70.33</v>
      </c>
      <c r="H22" s="145">
        <f>G22*F22</f>
        <v>0</v>
      </c>
      <c r="I22" s="145">
        <f>H22*0.1</f>
        <v>0</v>
      </c>
      <c r="J22" s="145">
        <f>H22*0.05</f>
        <v>0</v>
      </c>
      <c r="K22" s="145">
        <f>SUM(H22:J22)</f>
        <v>0</v>
      </c>
      <c r="L22" s="102">
        <f>ROUND(H22*Inputs!$G$82+I22*Inputs!$G$84+J22*Inputs!$G$83,0)</f>
        <v>0</v>
      </c>
      <c r="M22" s="102">
        <f>D22*E22*G22</f>
        <v>26162.76</v>
      </c>
    </row>
    <row r="23" spans="2:13" x14ac:dyDescent="0.2">
      <c r="B23" s="167" t="s">
        <v>94</v>
      </c>
      <c r="C23" s="20">
        <v>0</v>
      </c>
      <c r="D23" s="102">
        <f>Inputs!D49</f>
        <v>349</v>
      </c>
      <c r="E23" s="20">
        <v>1</v>
      </c>
      <c r="F23" s="145">
        <f>C23*E23</f>
        <v>0</v>
      </c>
      <c r="G23" s="265">
        <v>70.33</v>
      </c>
      <c r="H23" s="145">
        <f>G23*F23</f>
        <v>0</v>
      </c>
      <c r="I23" s="145">
        <f>H23*0.1</f>
        <v>0</v>
      </c>
      <c r="J23" s="145">
        <f>H23*0.05</f>
        <v>0</v>
      </c>
      <c r="K23" s="145">
        <f>SUM(H23:J23)</f>
        <v>0</v>
      </c>
      <c r="L23" s="102">
        <f>ROUND(H23*Inputs!$G$82+I23*Inputs!$G$84+J23*Inputs!$G$83,0)</f>
        <v>0</v>
      </c>
      <c r="M23" s="102">
        <f>D23*E23*G23</f>
        <v>24545.17</v>
      </c>
    </row>
    <row r="24" spans="2:13" ht="22.5" x14ac:dyDescent="0.2">
      <c r="B24" s="166" t="s">
        <v>202</v>
      </c>
      <c r="C24" s="20"/>
      <c r="D24" s="102"/>
      <c r="E24" s="20"/>
      <c r="F24" s="145"/>
      <c r="G24" s="145"/>
      <c r="H24" s="145"/>
      <c r="I24" s="145"/>
      <c r="J24" s="145"/>
      <c r="K24" s="145"/>
      <c r="L24" s="102"/>
      <c r="M24" s="102"/>
    </row>
    <row r="25" spans="2:13" x14ac:dyDescent="0.2">
      <c r="B25" s="167" t="s">
        <v>93</v>
      </c>
      <c r="C25" s="20">
        <v>0</v>
      </c>
      <c r="D25" s="102">
        <f>Inputs!C55</f>
        <v>12619</v>
      </c>
      <c r="E25" s="20">
        <v>1</v>
      </c>
      <c r="F25" s="145">
        <f>C25*E25</f>
        <v>0</v>
      </c>
      <c r="G25" s="265">
        <v>70.33</v>
      </c>
      <c r="H25" s="145">
        <f>G25*F25</f>
        <v>0</v>
      </c>
      <c r="I25" s="145">
        <f>H25*0.1</f>
        <v>0</v>
      </c>
      <c r="J25" s="145">
        <f>H25*0.05</f>
        <v>0</v>
      </c>
      <c r="K25" s="145">
        <f>SUM(H25:J25)</f>
        <v>0</v>
      </c>
      <c r="L25" s="102">
        <f>ROUND(H25*Inputs!$G$82+I25*Inputs!$G$84+J25*Inputs!$G$83,0)</f>
        <v>0</v>
      </c>
      <c r="M25" s="102">
        <f>D25*E25*G25</f>
        <v>887494.27</v>
      </c>
    </row>
    <row r="26" spans="2:13" x14ac:dyDescent="0.2">
      <c r="B26" s="167" t="s">
        <v>94</v>
      </c>
      <c r="C26" s="20">
        <v>0</v>
      </c>
      <c r="D26" s="102">
        <f>Inputs!D55</f>
        <v>2184</v>
      </c>
      <c r="E26" s="20">
        <v>1</v>
      </c>
      <c r="F26" s="145">
        <f>C26*E26</f>
        <v>0</v>
      </c>
      <c r="G26" s="265">
        <v>70.33</v>
      </c>
      <c r="H26" s="145">
        <f>G26*F26</f>
        <v>0</v>
      </c>
      <c r="I26" s="145">
        <f>H26*0.1</f>
        <v>0</v>
      </c>
      <c r="J26" s="145">
        <f>H26*0.05</f>
        <v>0</v>
      </c>
      <c r="K26" s="145">
        <f>SUM(H26:J26)</f>
        <v>0</v>
      </c>
      <c r="L26" s="102">
        <f>ROUND(H26*Inputs!$G$82+I26*Inputs!$G$84+J26*Inputs!$G$83,0)</f>
        <v>0</v>
      </c>
      <c r="M26" s="102">
        <f>D26*E26*G26</f>
        <v>153600.72</v>
      </c>
    </row>
    <row r="27" spans="2:13" ht="22.5" x14ac:dyDescent="0.2">
      <c r="B27" s="166" t="s">
        <v>249</v>
      </c>
      <c r="C27" s="20"/>
      <c r="D27" s="102"/>
      <c r="E27" s="20"/>
      <c r="F27" s="145"/>
      <c r="G27" s="145"/>
      <c r="H27" s="145"/>
      <c r="I27" s="145"/>
      <c r="J27" s="145"/>
      <c r="K27" s="145"/>
      <c r="L27" s="102"/>
      <c r="M27" s="102"/>
    </row>
    <row r="28" spans="2:13" x14ac:dyDescent="0.2">
      <c r="B28" s="167" t="s">
        <v>93</v>
      </c>
      <c r="C28" s="20">
        <v>0</v>
      </c>
      <c r="D28" s="102">
        <f>Inputs!C61</f>
        <v>560000</v>
      </c>
      <c r="E28" s="20">
        <v>1</v>
      </c>
      <c r="F28" s="145">
        <f>C28*E28</f>
        <v>0</v>
      </c>
      <c r="G28" s="145">
        <v>21</v>
      </c>
      <c r="H28" s="145">
        <f>G28*F28</f>
        <v>0</v>
      </c>
      <c r="I28" s="145">
        <f>H28*0.1</f>
        <v>0</v>
      </c>
      <c r="J28" s="145">
        <f>H28*0.05</f>
        <v>0</v>
      </c>
      <c r="K28" s="145">
        <f>SUM(H28:J28)</f>
        <v>0</v>
      </c>
      <c r="L28" s="102">
        <f>ROUND(H28*Inputs!$G$82+I28*Inputs!$G$84+J28*Inputs!$G$83,0)</f>
        <v>0</v>
      </c>
      <c r="M28" s="102">
        <f>D28*E28*G28</f>
        <v>11760000</v>
      </c>
    </row>
    <row r="29" spans="2:13" x14ac:dyDescent="0.2">
      <c r="B29" s="167" t="s">
        <v>94</v>
      </c>
      <c r="C29" s="20">
        <v>0</v>
      </c>
      <c r="D29" s="102">
        <f>Inputs!D61</f>
        <v>325000</v>
      </c>
      <c r="E29" s="20">
        <v>1</v>
      </c>
      <c r="F29" s="145">
        <f>C29*E29</f>
        <v>0</v>
      </c>
      <c r="G29" s="145">
        <v>21</v>
      </c>
      <c r="H29" s="145">
        <f>G29*F29</f>
        <v>0</v>
      </c>
      <c r="I29" s="145">
        <f>H29*0.1</f>
        <v>0</v>
      </c>
      <c r="J29" s="145">
        <f>H29*0.05</f>
        <v>0</v>
      </c>
      <c r="K29" s="145">
        <f>SUM(H29:J29)</f>
        <v>0</v>
      </c>
      <c r="L29" s="102">
        <f>ROUND(H29*Inputs!$G$82+I29*Inputs!$G$84+J29*Inputs!$G$83,0)</f>
        <v>0</v>
      </c>
      <c r="M29" s="102">
        <f>D29*E29*G29</f>
        <v>6825000</v>
      </c>
    </row>
    <row r="30" spans="2:13" x14ac:dyDescent="0.2">
      <c r="B30" s="166" t="s">
        <v>250</v>
      </c>
      <c r="C30" s="20"/>
      <c r="D30" s="102"/>
      <c r="E30" s="20"/>
      <c r="F30" s="145"/>
      <c r="G30" s="145"/>
      <c r="H30" s="145"/>
      <c r="I30" s="145"/>
      <c r="J30" s="145"/>
      <c r="K30" s="145"/>
      <c r="L30" s="102"/>
      <c r="M30" s="102"/>
    </row>
    <row r="31" spans="2:13" x14ac:dyDescent="0.2">
      <c r="B31" s="167" t="s">
        <v>93</v>
      </c>
      <c r="C31" s="20">
        <v>0</v>
      </c>
      <c r="D31" s="102">
        <f>Inputs!C67</f>
        <v>77409</v>
      </c>
      <c r="E31" s="20">
        <v>1</v>
      </c>
      <c r="F31" s="145">
        <f>C31*E31</f>
        <v>0</v>
      </c>
      <c r="G31" s="145">
        <v>126</v>
      </c>
      <c r="H31" s="145">
        <f>G31*F31</f>
        <v>0</v>
      </c>
      <c r="I31" s="145">
        <f>H31*0.1</f>
        <v>0</v>
      </c>
      <c r="J31" s="145">
        <f>H31*0.05</f>
        <v>0</v>
      </c>
      <c r="K31" s="145">
        <f>SUM(H31:J31)</f>
        <v>0</v>
      </c>
      <c r="L31" s="102">
        <f>ROUND(H31*Inputs!$G$82+I31*Inputs!$G$84+J31*Inputs!$G$83,0)</f>
        <v>0</v>
      </c>
      <c r="M31" s="102">
        <f>D31*E31*G31</f>
        <v>9753534</v>
      </c>
    </row>
    <row r="32" spans="2:13" x14ac:dyDescent="0.2">
      <c r="B32" s="167" t="s">
        <v>94</v>
      </c>
      <c r="C32" s="20">
        <v>0</v>
      </c>
      <c r="D32" s="102">
        <f>Inputs!D67</f>
        <v>254405</v>
      </c>
      <c r="E32" s="20">
        <v>1</v>
      </c>
      <c r="F32" s="145">
        <f>C32*E32</f>
        <v>0</v>
      </c>
      <c r="G32" s="145">
        <v>126</v>
      </c>
      <c r="H32" s="145">
        <f>G32*F32</f>
        <v>0</v>
      </c>
      <c r="I32" s="145">
        <f>H32*0.1</f>
        <v>0</v>
      </c>
      <c r="J32" s="145">
        <f>H32*0.05</f>
        <v>0</v>
      </c>
      <c r="K32" s="145">
        <f>SUM(H32:J32)</f>
        <v>0</v>
      </c>
      <c r="L32" s="102">
        <f>ROUND(H32*Inputs!$G$82+I32*Inputs!$G$84+J32*Inputs!$G$83,0)</f>
        <v>0</v>
      </c>
      <c r="M32" s="102">
        <f>D32*E32*G32</f>
        <v>32055030</v>
      </c>
    </row>
    <row r="33" spans="2:15" ht="22.5" x14ac:dyDescent="0.2">
      <c r="B33" s="166" t="s">
        <v>203</v>
      </c>
      <c r="C33" s="20"/>
      <c r="D33" s="102"/>
      <c r="E33" s="20"/>
      <c r="F33" s="145"/>
      <c r="G33" s="145"/>
      <c r="H33" s="145"/>
      <c r="I33" s="145"/>
      <c r="J33" s="145"/>
      <c r="K33" s="145"/>
      <c r="L33" s="102"/>
      <c r="M33" s="102"/>
    </row>
    <row r="34" spans="2:15" x14ac:dyDescent="0.2">
      <c r="B34" s="167" t="s">
        <v>93</v>
      </c>
      <c r="C34" s="20">
        <v>0</v>
      </c>
      <c r="D34" s="102">
        <f>Inputs!C74</f>
        <v>39277</v>
      </c>
      <c r="E34" s="20">
        <v>1</v>
      </c>
      <c r="F34" s="145">
        <f>C34*E34</f>
        <v>0</v>
      </c>
      <c r="G34" s="265">
        <v>70.33</v>
      </c>
      <c r="H34" s="145">
        <f>G34*F34</f>
        <v>0</v>
      </c>
      <c r="I34" s="145">
        <f>H34*0.1</f>
        <v>0</v>
      </c>
      <c r="J34" s="145">
        <f>H34*0.05</f>
        <v>0</v>
      </c>
      <c r="K34" s="145">
        <f>SUM(H34:J34)</f>
        <v>0</v>
      </c>
      <c r="L34" s="102">
        <f>ROUND(H34*Inputs!$G$82+I34*Inputs!$G$84+J34*Inputs!$G$83,0)</f>
        <v>0</v>
      </c>
      <c r="M34" s="102">
        <f>D34*E34*G34</f>
        <v>2762351.41</v>
      </c>
    </row>
    <row r="35" spans="2:15" x14ac:dyDescent="0.2">
      <c r="B35" s="167" t="s">
        <v>94</v>
      </c>
      <c r="C35" s="20">
        <v>0</v>
      </c>
      <c r="D35" s="102">
        <f>Inputs!D74</f>
        <v>98884</v>
      </c>
      <c r="E35" s="20">
        <v>1</v>
      </c>
      <c r="F35" s="145">
        <f>C35*E35</f>
        <v>0</v>
      </c>
      <c r="G35" s="265">
        <v>70.33</v>
      </c>
      <c r="H35" s="145">
        <f>G35*F35</f>
        <v>0</v>
      </c>
      <c r="I35" s="145">
        <f>H35*0.1</f>
        <v>0</v>
      </c>
      <c r="J35" s="145">
        <f>H35*0.05</f>
        <v>0</v>
      </c>
      <c r="K35" s="145">
        <f>SUM(H35:J35)</f>
        <v>0</v>
      </c>
      <c r="L35" s="102">
        <f>ROUND(H35*Inputs!$G$82+I35*Inputs!$G$84+J35*Inputs!$G$83,0)</f>
        <v>0</v>
      </c>
      <c r="M35" s="102">
        <f>D35*E35*G35</f>
        <v>6954511.7199999997</v>
      </c>
    </row>
    <row r="36" spans="2:15" ht="22.9" customHeight="1" x14ac:dyDescent="0.2">
      <c r="B36" s="166" t="s">
        <v>251</v>
      </c>
      <c r="C36" s="20"/>
      <c r="D36" s="102"/>
      <c r="E36" s="20"/>
      <c r="F36" s="145"/>
      <c r="G36" s="145"/>
      <c r="H36" s="145"/>
      <c r="I36" s="145"/>
      <c r="J36" s="145"/>
      <c r="K36" s="145"/>
      <c r="L36" s="102"/>
      <c r="M36" s="102"/>
    </row>
    <row r="37" spans="2:15" x14ac:dyDescent="0.2">
      <c r="B37" s="167" t="s">
        <v>93</v>
      </c>
      <c r="C37" s="20">
        <v>0</v>
      </c>
      <c r="D37" s="102">
        <f>Inputs!J13</f>
        <v>1457857.142857143</v>
      </c>
      <c r="E37" s="20">
        <v>1</v>
      </c>
      <c r="F37" s="145">
        <f>C37*E37</f>
        <v>0</v>
      </c>
      <c r="G37" s="145">
        <v>7</v>
      </c>
      <c r="H37" s="145">
        <f>G37*F37</f>
        <v>0</v>
      </c>
      <c r="I37" s="145">
        <f>H37*0.1</f>
        <v>0</v>
      </c>
      <c r="J37" s="145">
        <f>H37*0.05</f>
        <v>0</v>
      </c>
      <c r="K37" s="145">
        <f>SUM(H37:J37)</f>
        <v>0</v>
      </c>
      <c r="L37" s="102">
        <f>ROUND(H37*Inputs!$G$82+I37*Inputs!$G$84+J37*Inputs!$G$83,0)</f>
        <v>0</v>
      </c>
      <c r="M37" s="102">
        <f>D37*E37*G37</f>
        <v>10205000</v>
      </c>
    </row>
    <row r="38" spans="2:15" x14ac:dyDescent="0.2">
      <c r="B38" s="167" t="s">
        <v>94</v>
      </c>
      <c r="C38" s="20">
        <v>0</v>
      </c>
      <c r="D38" s="102">
        <f>Inputs!K13</f>
        <v>753714.28571428568</v>
      </c>
      <c r="E38" s="20">
        <v>1</v>
      </c>
      <c r="F38" s="145">
        <f>C38*E38</f>
        <v>0</v>
      </c>
      <c r="G38" s="145">
        <v>7</v>
      </c>
      <c r="H38" s="145">
        <f>G38*F38</f>
        <v>0</v>
      </c>
      <c r="I38" s="145">
        <f>H38*0.1</f>
        <v>0</v>
      </c>
      <c r="J38" s="145">
        <f>H38*0.05</f>
        <v>0</v>
      </c>
      <c r="K38" s="145">
        <f>SUM(H38:J38)</f>
        <v>0</v>
      </c>
      <c r="L38" s="102">
        <f>ROUND(H38*Inputs!$G$82+I38*Inputs!$G$84+J38*Inputs!$G$83,0)</f>
        <v>0</v>
      </c>
      <c r="M38" s="102">
        <f>D38*E38*G38</f>
        <v>5276000</v>
      </c>
    </row>
    <row r="39" spans="2:15" ht="30.6" customHeight="1" x14ac:dyDescent="0.2">
      <c r="B39" s="166" t="s">
        <v>252</v>
      </c>
      <c r="C39" s="20"/>
      <c r="D39" s="102"/>
      <c r="E39" s="20"/>
      <c r="F39" s="145"/>
      <c r="G39" s="145"/>
      <c r="H39" s="145"/>
      <c r="I39" s="145"/>
      <c r="J39" s="145"/>
      <c r="K39" s="145"/>
      <c r="L39" s="102"/>
      <c r="M39" s="102"/>
    </row>
    <row r="40" spans="2:15" x14ac:dyDescent="0.2">
      <c r="B40" s="167" t="s">
        <v>93</v>
      </c>
      <c r="C40" s="20">
        <v>0</v>
      </c>
      <c r="D40" s="102">
        <f>Inputs!N11</f>
        <v>23200</v>
      </c>
      <c r="E40" s="20">
        <v>1</v>
      </c>
      <c r="F40" s="145">
        <f>C40*E40</f>
        <v>0</v>
      </c>
      <c r="G40" s="145">
        <v>7</v>
      </c>
      <c r="H40" s="145">
        <f>G40*F40</f>
        <v>0</v>
      </c>
      <c r="I40" s="145">
        <f>H40*0.1</f>
        <v>0</v>
      </c>
      <c r="J40" s="145">
        <f>H40*0.05</f>
        <v>0</v>
      </c>
      <c r="K40" s="145">
        <f>SUM(H40:J40)</f>
        <v>0</v>
      </c>
      <c r="L40" s="102">
        <f>ROUND(H40*Inputs!$G$82+I40*Inputs!$G$84+J40*Inputs!$G$83,0)</f>
        <v>0</v>
      </c>
      <c r="M40" s="102">
        <f>D40*E40*G40</f>
        <v>162400</v>
      </c>
      <c r="O40" s="216"/>
    </row>
    <row r="41" spans="2:15" x14ac:dyDescent="0.2">
      <c r="B41" s="167" t="s">
        <v>94</v>
      </c>
      <c r="C41" s="20">
        <v>0</v>
      </c>
      <c r="D41" s="102">
        <f>Inputs!N12</f>
        <v>4900</v>
      </c>
      <c r="E41" s="20">
        <v>1</v>
      </c>
      <c r="F41" s="145">
        <f>C41*E41</f>
        <v>0</v>
      </c>
      <c r="G41" s="145">
        <v>7</v>
      </c>
      <c r="H41" s="145">
        <f>G41*F41</f>
        <v>0</v>
      </c>
      <c r="I41" s="145">
        <f>H41*0.1</f>
        <v>0</v>
      </c>
      <c r="J41" s="145">
        <f>H41*0.05</f>
        <v>0</v>
      </c>
      <c r="K41" s="145">
        <f>SUM(H41:J41)</f>
        <v>0</v>
      </c>
      <c r="L41" s="102">
        <f>ROUND(H41*Inputs!$G$82+I41*Inputs!$G$84+J41*Inputs!$G$83,0)</f>
        <v>0</v>
      </c>
      <c r="M41" s="102">
        <f>D41*E41*G41</f>
        <v>34300</v>
      </c>
    </row>
    <row r="42" spans="2:15" ht="31.9" customHeight="1" x14ac:dyDescent="0.2">
      <c r="B42" s="166" t="s">
        <v>253</v>
      </c>
      <c r="C42" s="20"/>
      <c r="D42" s="102"/>
      <c r="E42" s="20"/>
      <c r="F42" s="145"/>
      <c r="G42" s="145"/>
      <c r="H42" s="145"/>
      <c r="I42" s="145"/>
      <c r="J42" s="145"/>
      <c r="K42" s="145"/>
      <c r="L42" s="102"/>
      <c r="M42" s="102"/>
    </row>
    <row r="43" spans="2:15" x14ac:dyDescent="0.2">
      <c r="B43" s="167" t="s">
        <v>153</v>
      </c>
      <c r="C43" s="20">
        <v>0</v>
      </c>
      <c r="D43" s="102">
        <f>Inputs!N13</f>
        <v>38302</v>
      </c>
      <c r="E43" s="20">
        <v>1</v>
      </c>
      <c r="F43" s="145">
        <f>C43*E43</f>
        <v>0</v>
      </c>
      <c r="G43" s="145">
        <v>7</v>
      </c>
      <c r="H43" s="145">
        <f>G43*F43</f>
        <v>0</v>
      </c>
      <c r="I43" s="145">
        <f>H43*0.1</f>
        <v>0</v>
      </c>
      <c r="J43" s="145">
        <f>H43*0.05</f>
        <v>0</v>
      </c>
      <c r="K43" s="145">
        <f>SUM(H43:J43)</f>
        <v>0</v>
      </c>
      <c r="L43" s="102">
        <f>ROUND(H43*Inputs!$G$82+I43*Inputs!$G$84+J43*Inputs!$G$83,0)</f>
        <v>0</v>
      </c>
      <c r="M43" s="102">
        <f>D43*E43*G43</f>
        <v>268114</v>
      </c>
    </row>
    <row r="44" spans="2:15" x14ac:dyDescent="0.2">
      <c r="B44" s="167" t="s">
        <v>254</v>
      </c>
      <c r="C44" s="20">
        <v>0</v>
      </c>
      <c r="D44" s="102">
        <f>Inputs!J14</f>
        <v>0</v>
      </c>
      <c r="E44" s="20">
        <v>1</v>
      </c>
      <c r="F44" s="145">
        <f>C44*E44</f>
        <v>0</v>
      </c>
      <c r="G44" s="145">
        <v>0</v>
      </c>
      <c r="H44" s="145">
        <f>G44*F44</f>
        <v>0</v>
      </c>
      <c r="I44" s="145">
        <f>H44*0.1</f>
        <v>0</v>
      </c>
      <c r="J44" s="145">
        <f>H44*0.05</f>
        <v>0</v>
      </c>
      <c r="K44" s="145">
        <f>SUM(H44:J44)</f>
        <v>0</v>
      </c>
      <c r="L44" s="102">
        <f>ROUND(H44*Inputs!$G$82+I44*Inputs!$G$84+J44*Inputs!$G$83,0)</f>
        <v>0</v>
      </c>
      <c r="M44" s="102">
        <f>D44*E44*G44</f>
        <v>0</v>
      </c>
    </row>
    <row r="45" spans="2:15" ht="22.5" x14ac:dyDescent="0.2">
      <c r="B45" s="166" t="s">
        <v>255</v>
      </c>
      <c r="C45" s="20"/>
      <c r="D45" s="102"/>
      <c r="E45" s="20"/>
      <c r="F45" s="145"/>
      <c r="G45" s="145"/>
      <c r="H45" s="145"/>
      <c r="I45" s="145"/>
      <c r="J45" s="145"/>
      <c r="K45" s="145"/>
      <c r="L45" s="102"/>
      <c r="M45" s="102"/>
    </row>
    <row r="46" spans="2:15" x14ac:dyDescent="0.2">
      <c r="B46" s="167" t="s">
        <v>93</v>
      </c>
      <c r="C46" s="20">
        <v>0</v>
      </c>
      <c r="D46" s="102">
        <f>Inputs!J20</f>
        <v>14416.666666666666</v>
      </c>
      <c r="E46" s="20">
        <v>1</v>
      </c>
      <c r="F46" s="145">
        <f>C46*E46</f>
        <v>0</v>
      </c>
      <c r="G46" s="145">
        <v>3</v>
      </c>
      <c r="H46" s="145">
        <f>G46*F46</f>
        <v>0</v>
      </c>
      <c r="I46" s="145">
        <f>H46*0.1</f>
        <v>0</v>
      </c>
      <c r="J46" s="145">
        <f>H46*0.05</f>
        <v>0</v>
      </c>
      <c r="K46" s="145">
        <f>SUM(H46:J46)</f>
        <v>0</v>
      </c>
      <c r="L46" s="102">
        <f>ROUND(H46*Inputs!$G$82+I46*Inputs!$G$84+J46*Inputs!$G$83,0)</f>
        <v>0</v>
      </c>
      <c r="M46" s="102">
        <f>D46*E46*G46</f>
        <v>43250</v>
      </c>
    </row>
    <row r="47" spans="2:15" x14ac:dyDescent="0.2">
      <c r="B47" s="167" t="s">
        <v>94</v>
      </c>
      <c r="C47" s="20">
        <v>0</v>
      </c>
      <c r="D47" s="102">
        <f>Inputs!K20</f>
        <v>62930.666666666664</v>
      </c>
      <c r="E47" s="20">
        <v>1</v>
      </c>
      <c r="F47" s="145">
        <f>C47*E47</f>
        <v>0</v>
      </c>
      <c r="G47" s="145">
        <v>3</v>
      </c>
      <c r="H47" s="145">
        <f>G47*F47</f>
        <v>0</v>
      </c>
      <c r="I47" s="145">
        <f>H47*0.1</f>
        <v>0</v>
      </c>
      <c r="J47" s="145">
        <f>H47*0.05</f>
        <v>0</v>
      </c>
      <c r="K47" s="145">
        <f>SUM(H47:J47)</f>
        <v>0</v>
      </c>
      <c r="L47" s="102">
        <f>ROUND(H47*Inputs!$G$82+I47*Inputs!$G$84+J47*Inputs!$G$83,0)</f>
        <v>0</v>
      </c>
      <c r="M47" s="102">
        <f>D47*E47*G47</f>
        <v>188792</v>
      </c>
    </row>
    <row r="48" spans="2:15" ht="22.5" x14ac:dyDescent="0.2">
      <c r="B48" s="166" t="s">
        <v>256</v>
      </c>
      <c r="C48" s="20"/>
      <c r="D48" s="102"/>
      <c r="E48" s="20"/>
      <c r="F48" s="145"/>
      <c r="G48" s="145"/>
      <c r="H48" s="145"/>
      <c r="I48" s="145"/>
      <c r="J48" s="145"/>
      <c r="K48" s="145"/>
      <c r="L48" s="102"/>
      <c r="M48" s="102"/>
    </row>
    <row r="49" spans="2:13" x14ac:dyDescent="0.2">
      <c r="B49" s="167" t="s">
        <v>93</v>
      </c>
      <c r="C49" s="20">
        <v>0</v>
      </c>
      <c r="D49" s="102">
        <f>Inputs!J27</f>
        <v>10434.823529411764</v>
      </c>
      <c r="E49" s="20">
        <v>1</v>
      </c>
      <c r="F49" s="145">
        <f>C49*E49</f>
        <v>0</v>
      </c>
      <c r="G49" s="145">
        <v>17</v>
      </c>
      <c r="H49" s="145">
        <f>G49*F49</f>
        <v>0</v>
      </c>
      <c r="I49" s="145">
        <f>H49*0.1</f>
        <v>0</v>
      </c>
      <c r="J49" s="145">
        <f>H49*0.05</f>
        <v>0</v>
      </c>
      <c r="K49" s="145">
        <f>SUM(H49:J49)</f>
        <v>0</v>
      </c>
      <c r="L49" s="102">
        <f>ROUND(H49*Inputs!$G$82+I49*Inputs!$G$84+J49*Inputs!$G$83,0)</f>
        <v>0</v>
      </c>
      <c r="M49" s="102">
        <f>D49*E49*G49</f>
        <v>177392</v>
      </c>
    </row>
    <row r="50" spans="2:13" x14ac:dyDescent="0.2">
      <c r="B50" s="167" t="s">
        <v>94</v>
      </c>
      <c r="C50" s="20">
        <v>0</v>
      </c>
      <c r="D50" s="102">
        <f>Inputs!K27</f>
        <v>207824.76470588235</v>
      </c>
      <c r="E50" s="20">
        <v>1</v>
      </c>
      <c r="F50" s="145">
        <f>C50*E50</f>
        <v>0</v>
      </c>
      <c r="G50" s="145">
        <v>17</v>
      </c>
      <c r="H50" s="145">
        <f>G50*F50</f>
        <v>0</v>
      </c>
      <c r="I50" s="145">
        <f>H50*0.1</f>
        <v>0</v>
      </c>
      <c r="J50" s="145">
        <f>H50*0.05</f>
        <v>0</v>
      </c>
      <c r="K50" s="145">
        <f>SUM(H50:J50)</f>
        <v>0</v>
      </c>
      <c r="L50" s="102">
        <f>ROUND(H50*Inputs!$G$82+I50*Inputs!$G$84+J50*Inputs!$G$83,0)</f>
        <v>0</v>
      </c>
      <c r="M50" s="102">
        <f>D50*E50*G50</f>
        <v>3533021</v>
      </c>
    </row>
    <row r="51" spans="2:13" x14ac:dyDescent="0.2">
      <c r="B51" s="165" t="s">
        <v>62</v>
      </c>
      <c r="C51" s="20" t="s">
        <v>64</v>
      </c>
      <c r="D51" s="102"/>
      <c r="E51" s="20"/>
      <c r="F51" s="145"/>
      <c r="G51" s="145"/>
      <c r="H51" s="145"/>
      <c r="I51" s="145"/>
      <c r="J51" s="145"/>
      <c r="K51" s="145"/>
      <c r="L51" s="102"/>
      <c r="M51" s="102"/>
    </row>
    <row r="52" spans="2:13" x14ac:dyDescent="0.2">
      <c r="B52" s="165" t="s">
        <v>63</v>
      </c>
      <c r="C52" s="20" t="s">
        <v>65</v>
      </c>
      <c r="D52" s="102"/>
      <c r="E52" s="20"/>
      <c r="F52" s="145"/>
      <c r="G52" s="145"/>
      <c r="H52" s="145"/>
      <c r="I52" s="145"/>
      <c r="J52" s="145"/>
      <c r="K52" s="145"/>
      <c r="L52" s="102"/>
      <c r="M52" s="102"/>
    </row>
    <row r="53" spans="2:13" x14ac:dyDescent="0.2">
      <c r="B53" s="165" t="s">
        <v>66</v>
      </c>
      <c r="C53" s="20"/>
      <c r="D53" s="102"/>
      <c r="E53" s="20"/>
      <c r="F53" s="145"/>
      <c r="G53" s="145"/>
      <c r="H53" s="145"/>
      <c r="I53" s="145"/>
      <c r="J53" s="145"/>
      <c r="K53" s="145"/>
      <c r="L53" s="102"/>
      <c r="M53" s="102"/>
    </row>
    <row r="54" spans="2:13" x14ac:dyDescent="0.2">
      <c r="B54" s="166" t="s">
        <v>156</v>
      </c>
      <c r="C54" s="20"/>
      <c r="D54" s="102"/>
      <c r="E54" s="20"/>
      <c r="F54" s="145"/>
      <c r="G54" s="145"/>
      <c r="H54" s="145"/>
      <c r="I54" s="145"/>
      <c r="J54" s="145"/>
      <c r="K54" s="145"/>
      <c r="L54" s="102"/>
      <c r="M54" s="102"/>
    </row>
    <row r="55" spans="2:13" x14ac:dyDescent="0.2">
      <c r="B55" s="167" t="s">
        <v>108</v>
      </c>
      <c r="C55" s="20">
        <v>5</v>
      </c>
      <c r="D55" s="102">
        <v>0</v>
      </c>
      <c r="E55" s="20">
        <v>1</v>
      </c>
      <c r="F55" s="145">
        <f t="shared" ref="F55:F62" si="0">C55*E55</f>
        <v>5</v>
      </c>
      <c r="G55" s="265">
        <f>G10</f>
        <v>70.33</v>
      </c>
      <c r="H55" s="145">
        <f t="shared" ref="H55:H62" si="1">G55*F55</f>
        <v>351.65</v>
      </c>
      <c r="I55" s="145">
        <f t="shared" ref="I55:I62" si="2">H55*0.1</f>
        <v>35.164999999999999</v>
      </c>
      <c r="J55" s="145">
        <f t="shared" ref="J55:J62" si="3">H55*0.05</f>
        <v>17.5825</v>
      </c>
      <c r="K55" s="145">
        <f t="shared" ref="K55:K62" si="4">SUM(H55:J55)</f>
        <v>404.39749999999998</v>
      </c>
      <c r="L55" s="102">
        <f>ROUND(H55*Inputs!$G$82+I55*Inputs!$G$84+J55*Inputs!$G$83,0)</f>
        <v>40026</v>
      </c>
      <c r="M55" s="102">
        <f t="shared" ref="M55:M62" si="5">D55*E55*G55</f>
        <v>0</v>
      </c>
    </row>
    <row r="56" spans="2:13" x14ac:dyDescent="0.2">
      <c r="B56" s="167" t="s">
        <v>109</v>
      </c>
      <c r="C56" s="20">
        <v>15</v>
      </c>
      <c r="D56" s="102">
        <v>0</v>
      </c>
      <c r="E56" s="20">
        <v>1</v>
      </c>
      <c r="F56" s="145">
        <f t="shared" si="0"/>
        <v>15</v>
      </c>
      <c r="G56" s="265">
        <f>G13</f>
        <v>70.33</v>
      </c>
      <c r="H56" s="145">
        <f t="shared" si="1"/>
        <v>1054.95</v>
      </c>
      <c r="I56" s="145">
        <f t="shared" si="2"/>
        <v>105.495</v>
      </c>
      <c r="J56" s="145">
        <f t="shared" si="3"/>
        <v>52.747500000000002</v>
      </c>
      <c r="K56" s="145">
        <f t="shared" si="4"/>
        <v>1213.1925000000001</v>
      </c>
      <c r="L56" s="102">
        <f>ROUND(H56*Inputs!$G$82+I56*Inputs!$G$84+J56*Inputs!$G$83,0)</f>
        <v>120079</v>
      </c>
      <c r="M56" s="102">
        <f t="shared" si="5"/>
        <v>0</v>
      </c>
    </row>
    <row r="57" spans="2:13" x14ac:dyDescent="0.2">
      <c r="B57" s="167" t="s">
        <v>206</v>
      </c>
      <c r="C57" s="20">
        <v>10</v>
      </c>
      <c r="D57" s="102">
        <v>0</v>
      </c>
      <c r="E57" s="20">
        <v>1</v>
      </c>
      <c r="F57" s="145">
        <f t="shared" si="0"/>
        <v>10</v>
      </c>
      <c r="G57" s="265">
        <f>G34</f>
        <v>70.33</v>
      </c>
      <c r="H57" s="145">
        <f t="shared" si="1"/>
        <v>703.3</v>
      </c>
      <c r="I57" s="145">
        <f t="shared" si="2"/>
        <v>70.33</v>
      </c>
      <c r="J57" s="145">
        <f t="shared" si="3"/>
        <v>35.164999999999999</v>
      </c>
      <c r="K57" s="145">
        <f t="shared" ref="K57:K60" si="6">SUM(H57:J57)</f>
        <v>808.79499999999996</v>
      </c>
      <c r="L57" s="102">
        <f>ROUND(H57*Inputs!$G$82+I57*Inputs!$G$84+J57*Inputs!$G$83,0)</f>
        <v>80052</v>
      </c>
      <c r="M57" s="102">
        <f t="shared" si="5"/>
        <v>0</v>
      </c>
    </row>
    <row r="58" spans="2:13" x14ac:dyDescent="0.2">
      <c r="B58" s="167" t="s">
        <v>207</v>
      </c>
      <c r="C58" s="20">
        <v>10</v>
      </c>
      <c r="D58" s="102">
        <v>0</v>
      </c>
      <c r="E58" s="20">
        <v>1</v>
      </c>
      <c r="F58" s="145">
        <f t="shared" si="0"/>
        <v>10</v>
      </c>
      <c r="G58" s="265">
        <f>G25</f>
        <v>70.33</v>
      </c>
      <c r="H58" s="145">
        <f t="shared" si="1"/>
        <v>703.3</v>
      </c>
      <c r="I58" s="145">
        <f t="shared" si="2"/>
        <v>70.33</v>
      </c>
      <c r="J58" s="145">
        <f t="shared" si="3"/>
        <v>35.164999999999999</v>
      </c>
      <c r="K58" s="145">
        <f t="shared" si="6"/>
        <v>808.79499999999996</v>
      </c>
      <c r="L58" s="102">
        <f>ROUND(H58*Inputs!$G$82+I58*Inputs!$G$84+J58*Inputs!$G$83,0)</f>
        <v>80052</v>
      </c>
      <c r="M58" s="102">
        <f t="shared" si="5"/>
        <v>0</v>
      </c>
    </row>
    <row r="59" spans="2:13" x14ac:dyDescent="0.2">
      <c r="B59" s="167" t="s">
        <v>269</v>
      </c>
      <c r="C59" s="20">
        <v>5</v>
      </c>
      <c r="D59" s="102">
        <v>0</v>
      </c>
      <c r="E59" s="20">
        <v>1</v>
      </c>
      <c r="F59" s="145">
        <f t="shared" si="0"/>
        <v>5</v>
      </c>
      <c r="G59" s="265">
        <f>G19</f>
        <v>2</v>
      </c>
      <c r="H59" s="145">
        <f t="shared" si="1"/>
        <v>10</v>
      </c>
      <c r="I59" s="145">
        <f t="shared" si="2"/>
        <v>1</v>
      </c>
      <c r="J59" s="145">
        <f t="shared" si="3"/>
        <v>0.5</v>
      </c>
      <c r="K59" s="145">
        <f t="shared" si="6"/>
        <v>11.5</v>
      </c>
      <c r="L59" s="102">
        <f>ROUND(H59*Inputs!$G$82+I59*Inputs!$G$84+J59*Inputs!$G$83,0)</f>
        <v>1138</v>
      </c>
      <c r="M59" s="102">
        <f t="shared" si="5"/>
        <v>0</v>
      </c>
    </row>
    <row r="60" spans="2:13" ht="22.5" x14ac:dyDescent="0.2">
      <c r="B60" s="223" t="s">
        <v>257</v>
      </c>
      <c r="C60" s="20">
        <v>4</v>
      </c>
      <c r="D60" s="102">
        <v>0</v>
      </c>
      <c r="E60" s="20">
        <v>1</v>
      </c>
      <c r="F60" s="145">
        <f t="shared" si="0"/>
        <v>4</v>
      </c>
      <c r="G60" s="145">
        <f>Inputs!J7</f>
        <v>17</v>
      </c>
      <c r="H60" s="145">
        <f t="shared" si="1"/>
        <v>68</v>
      </c>
      <c r="I60" s="145">
        <f t="shared" si="2"/>
        <v>6.8000000000000007</v>
      </c>
      <c r="J60" s="145">
        <f t="shared" si="3"/>
        <v>3.4000000000000004</v>
      </c>
      <c r="K60" s="145">
        <f t="shared" si="6"/>
        <v>78.2</v>
      </c>
      <c r="L60" s="102">
        <f>ROUND(H60*Inputs!$G$82+I60*Inputs!$G$84+J60*Inputs!$G$83,0)</f>
        <v>7740</v>
      </c>
      <c r="M60" s="102">
        <f t="shared" si="5"/>
        <v>0</v>
      </c>
    </row>
    <row r="61" spans="2:13" ht="22.5" x14ac:dyDescent="0.2">
      <c r="B61" s="223" t="s">
        <v>258</v>
      </c>
      <c r="C61" s="224">
        <v>4</v>
      </c>
      <c r="D61" s="225">
        <v>0</v>
      </c>
      <c r="E61" s="224">
        <v>1</v>
      </c>
      <c r="F61" s="226">
        <f t="shared" si="0"/>
        <v>4</v>
      </c>
      <c r="G61" s="226">
        <f>G37</f>
        <v>7</v>
      </c>
      <c r="H61" s="226">
        <f t="shared" si="1"/>
        <v>28</v>
      </c>
      <c r="I61" s="226">
        <f t="shared" si="2"/>
        <v>2.8000000000000003</v>
      </c>
      <c r="J61" s="226">
        <f t="shared" si="3"/>
        <v>1.4000000000000001</v>
      </c>
      <c r="K61" s="226">
        <f t="shared" si="4"/>
        <v>32.200000000000003</v>
      </c>
      <c r="L61" s="225">
        <f>ROUND(H61*Inputs!$G$82+I61*Inputs!$G$84+J61*Inputs!$G$83,0)</f>
        <v>3187</v>
      </c>
      <c r="M61" s="225">
        <f t="shared" si="5"/>
        <v>0</v>
      </c>
    </row>
    <row r="62" spans="2:13" x14ac:dyDescent="0.2">
      <c r="B62" s="167" t="s">
        <v>259</v>
      </c>
      <c r="C62" s="20">
        <v>4</v>
      </c>
      <c r="D62" s="102">
        <v>0</v>
      </c>
      <c r="E62" s="20">
        <v>1</v>
      </c>
      <c r="F62" s="145">
        <f t="shared" si="0"/>
        <v>4</v>
      </c>
      <c r="G62" s="145">
        <f>G49</f>
        <v>17</v>
      </c>
      <c r="H62" s="145">
        <f t="shared" si="1"/>
        <v>68</v>
      </c>
      <c r="I62" s="145">
        <f t="shared" si="2"/>
        <v>6.8000000000000007</v>
      </c>
      <c r="J62" s="145">
        <f t="shared" si="3"/>
        <v>3.4000000000000004</v>
      </c>
      <c r="K62" s="145">
        <f t="shared" si="4"/>
        <v>78.2</v>
      </c>
      <c r="L62" s="102">
        <f>ROUND(H62*Inputs!$G$82+I62*Inputs!$G$84+J62*Inputs!$G$83,0)</f>
        <v>7740</v>
      </c>
      <c r="M62" s="102">
        <f t="shared" si="5"/>
        <v>0</v>
      </c>
    </row>
    <row r="63" spans="2:13" x14ac:dyDescent="0.2">
      <c r="B63" s="168" t="s">
        <v>157</v>
      </c>
      <c r="C63" s="20"/>
      <c r="D63" s="102"/>
      <c r="E63" s="20"/>
      <c r="F63" s="145"/>
      <c r="G63" s="145"/>
      <c r="H63" s="145"/>
      <c r="I63" s="145"/>
      <c r="J63" s="145"/>
      <c r="K63" s="145"/>
      <c r="L63" s="102"/>
      <c r="M63" s="102"/>
    </row>
    <row r="64" spans="2:13" x14ac:dyDescent="0.2">
      <c r="B64" s="167" t="s">
        <v>108</v>
      </c>
      <c r="C64" s="20">
        <v>5</v>
      </c>
      <c r="D64" s="102">
        <v>0</v>
      </c>
      <c r="E64" s="20">
        <v>2</v>
      </c>
      <c r="F64" s="145">
        <f t="shared" ref="F64:F74" si="7">C64*E64</f>
        <v>10</v>
      </c>
      <c r="G64" s="265">
        <f>G10</f>
        <v>70.33</v>
      </c>
      <c r="H64" s="145">
        <f t="shared" ref="H64:H74" si="8">G64*F64</f>
        <v>703.3</v>
      </c>
      <c r="I64" s="145">
        <f t="shared" ref="I64:I74" si="9">H64*0.1</f>
        <v>70.33</v>
      </c>
      <c r="J64" s="145">
        <f t="shared" ref="J64:J74" si="10">H64*0.05</f>
        <v>35.164999999999999</v>
      </c>
      <c r="K64" s="145">
        <f t="shared" ref="K64:K74" si="11">SUM(H64:J64)</f>
        <v>808.79499999999996</v>
      </c>
      <c r="L64" s="102">
        <f>ROUND(H64*Inputs!$G$82+I64*Inputs!$G$84+J64*Inputs!$G$83,0)</f>
        <v>80052</v>
      </c>
      <c r="M64" s="102">
        <f t="shared" ref="M64:M74" si="12">D64*E64*G64</f>
        <v>0</v>
      </c>
    </row>
    <row r="65" spans="2:13" x14ac:dyDescent="0.2">
      <c r="B65" s="167" t="s">
        <v>109</v>
      </c>
      <c r="C65" s="20">
        <v>10</v>
      </c>
      <c r="D65" s="102">
        <v>0</v>
      </c>
      <c r="E65" s="20">
        <v>2</v>
      </c>
      <c r="F65" s="145">
        <f t="shared" si="7"/>
        <v>20</v>
      </c>
      <c r="G65" s="265">
        <f>G13</f>
        <v>70.33</v>
      </c>
      <c r="H65" s="145">
        <f t="shared" si="8"/>
        <v>1406.6</v>
      </c>
      <c r="I65" s="145">
        <f t="shared" si="9"/>
        <v>140.66</v>
      </c>
      <c r="J65" s="145">
        <f t="shared" si="10"/>
        <v>70.33</v>
      </c>
      <c r="K65" s="145">
        <f t="shared" si="11"/>
        <v>1617.59</v>
      </c>
      <c r="L65" s="102">
        <f>ROUND(H65*Inputs!$G$82+I65*Inputs!$G$84+J65*Inputs!$G$83,0)</f>
        <v>160105</v>
      </c>
      <c r="M65" s="102">
        <f t="shared" si="12"/>
        <v>0</v>
      </c>
    </row>
    <row r="66" spans="2:13" x14ac:dyDescent="0.2">
      <c r="B66" s="167" t="s">
        <v>154</v>
      </c>
      <c r="C66" s="20">
        <v>4</v>
      </c>
      <c r="D66" s="102">
        <v>0</v>
      </c>
      <c r="E66" s="20">
        <v>2</v>
      </c>
      <c r="F66" s="145">
        <f t="shared" si="7"/>
        <v>8</v>
      </c>
      <c r="G66" s="265">
        <f>G25</f>
        <v>70.33</v>
      </c>
      <c r="H66" s="145">
        <f t="shared" si="8"/>
        <v>562.64</v>
      </c>
      <c r="I66" s="145">
        <f t="shared" si="9"/>
        <v>56.264000000000003</v>
      </c>
      <c r="J66" s="145">
        <f t="shared" si="10"/>
        <v>28.132000000000001</v>
      </c>
      <c r="K66" s="145">
        <f t="shared" si="11"/>
        <v>647.03599999999994</v>
      </c>
      <c r="L66" s="102">
        <f>ROUND(H66*Inputs!$G$82+I66*Inputs!$G$84+J66*Inputs!$G$83,0)</f>
        <v>64042</v>
      </c>
      <c r="M66" s="102">
        <f t="shared" si="12"/>
        <v>0</v>
      </c>
    </row>
    <row r="67" spans="2:13" x14ac:dyDescent="0.2">
      <c r="B67" s="167" t="s">
        <v>260</v>
      </c>
      <c r="C67" s="20">
        <v>4</v>
      </c>
      <c r="D67" s="102">
        <v>0</v>
      </c>
      <c r="E67" s="20">
        <v>2</v>
      </c>
      <c r="F67" s="145">
        <f t="shared" si="7"/>
        <v>8</v>
      </c>
      <c r="G67" s="265">
        <v>0</v>
      </c>
      <c r="H67" s="145">
        <f t="shared" si="8"/>
        <v>0</v>
      </c>
      <c r="I67" s="145">
        <f t="shared" si="9"/>
        <v>0</v>
      </c>
      <c r="J67" s="145">
        <f t="shared" si="10"/>
        <v>0</v>
      </c>
      <c r="K67" s="145">
        <f t="shared" si="11"/>
        <v>0</v>
      </c>
      <c r="L67" s="102">
        <f>ROUND(H67*Inputs!$G$82+I67*Inputs!$G$84+J67*Inputs!$G$83,0)</f>
        <v>0</v>
      </c>
      <c r="M67" s="102">
        <f t="shared" si="12"/>
        <v>0</v>
      </c>
    </row>
    <row r="68" spans="2:13" x14ac:dyDescent="0.2">
      <c r="B68" s="167" t="s">
        <v>128</v>
      </c>
      <c r="C68" s="20">
        <v>3</v>
      </c>
      <c r="D68" s="102">
        <v>0</v>
      </c>
      <c r="E68" s="20">
        <v>2</v>
      </c>
      <c r="F68" s="145">
        <f t="shared" si="7"/>
        <v>6</v>
      </c>
      <c r="G68" s="265">
        <f>G17</f>
        <v>70.33</v>
      </c>
      <c r="H68" s="145">
        <f t="shared" si="8"/>
        <v>421.98</v>
      </c>
      <c r="I68" s="145">
        <f t="shared" si="9"/>
        <v>42.198000000000008</v>
      </c>
      <c r="J68" s="145">
        <f t="shared" si="10"/>
        <v>21.099000000000004</v>
      </c>
      <c r="K68" s="145">
        <f t="shared" si="11"/>
        <v>485.27699999999999</v>
      </c>
      <c r="L68" s="102">
        <f>ROUND(H68*Inputs!$G$82+I68*Inputs!$G$84+J68*Inputs!$G$83,0)</f>
        <v>48031</v>
      </c>
      <c r="M68" s="102">
        <f t="shared" si="12"/>
        <v>0</v>
      </c>
    </row>
    <row r="69" spans="2:13" ht="22.5" x14ac:dyDescent="0.2">
      <c r="B69" s="223" t="s">
        <v>209</v>
      </c>
      <c r="C69" s="20">
        <v>3</v>
      </c>
      <c r="D69" s="102">
        <v>0</v>
      </c>
      <c r="E69" s="20">
        <v>2</v>
      </c>
      <c r="F69" s="145">
        <f t="shared" si="7"/>
        <v>6</v>
      </c>
      <c r="G69" s="265">
        <f>G25</f>
        <v>70.33</v>
      </c>
      <c r="H69" s="145">
        <f t="shared" si="8"/>
        <v>421.98</v>
      </c>
      <c r="I69" s="145">
        <f t="shared" si="9"/>
        <v>42.198000000000008</v>
      </c>
      <c r="J69" s="145">
        <f t="shared" si="10"/>
        <v>21.099000000000004</v>
      </c>
      <c r="K69" s="145">
        <f t="shared" si="11"/>
        <v>485.27699999999999</v>
      </c>
      <c r="L69" s="102">
        <f>ROUND(H69*Inputs!$G$82+I69*Inputs!$G$84+J69*Inputs!$G$83,0)</f>
        <v>48031</v>
      </c>
      <c r="M69" s="102">
        <f t="shared" si="12"/>
        <v>0</v>
      </c>
    </row>
    <row r="70" spans="2:13" x14ac:dyDescent="0.2">
      <c r="B70" s="223" t="s">
        <v>270</v>
      </c>
      <c r="C70" s="20">
        <v>3</v>
      </c>
      <c r="D70" s="102">
        <v>0</v>
      </c>
      <c r="E70" s="20">
        <v>2</v>
      </c>
      <c r="F70" s="145">
        <f t="shared" si="7"/>
        <v>6</v>
      </c>
      <c r="G70" s="145">
        <f>G19</f>
        <v>2</v>
      </c>
      <c r="H70" s="145">
        <f t="shared" si="8"/>
        <v>12</v>
      </c>
      <c r="I70" s="145">
        <f t="shared" si="9"/>
        <v>1.2000000000000002</v>
      </c>
      <c r="J70" s="145">
        <f t="shared" si="10"/>
        <v>0.60000000000000009</v>
      </c>
      <c r="K70" s="145">
        <f t="shared" si="11"/>
        <v>13.799999999999999</v>
      </c>
      <c r="L70" s="102">
        <f>ROUND(H70*Inputs!$G$82+I70*Inputs!$G$84+J70*Inputs!$G$83,0)</f>
        <v>1366</v>
      </c>
      <c r="M70" s="102">
        <f t="shared" si="12"/>
        <v>0</v>
      </c>
    </row>
    <row r="71" spans="2:13" x14ac:dyDescent="0.2">
      <c r="B71" s="223" t="s">
        <v>211</v>
      </c>
      <c r="C71" s="20">
        <v>4</v>
      </c>
      <c r="D71" s="102">
        <v>0</v>
      </c>
      <c r="E71" s="20">
        <v>2</v>
      </c>
      <c r="F71" s="145">
        <f t="shared" si="7"/>
        <v>8</v>
      </c>
      <c r="G71" s="265">
        <f>G22</f>
        <v>70.33</v>
      </c>
      <c r="H71" s="145">
        <f t="shared" si="8"/>
        <v>562.64</v>
      </c>
      <c r="I71" s="145">
        <f t="shared" si="9"/>
        <v>56.264000000000003</v>
      </c>
      <c r="J71" s="145">
        <f t="shared" si="10"/>
        <v>28.132000000000001</v>
      </c>
      <c r="K71" s="145">
        <f t="shared" si="11"/>
        <v>647.03599999999994</v>
      </c>
      <c r="L71" s="102">
        <f>ROUND(H71*Inputs!$G$82+I71*Inputs!$G$84+J71*Inputs!$G$83,0)</f>
        <v>64042</v>
      </c>
      <c r="M71" s="102">
        <f t="shared" si="12"/>
        <v>0</v>
      </c>
    </row>
    <row r="72" spans="2:13" ht="21" customHeight="1" x14ac:dyDescent="0.2">
      <c r="B72" s="223" t="s">
        <v>261</v>
      </c>
      <c r="C72" s="224">
        <v>4</v>
      </c>
      <c r="D72" s="225">
        <v>0</v>
      </c>
      <c r="E72" s="224">
        <v>2</v>
      </c>
      <c r="F72" s="226">
        <f t="shared" si="7"/>
        <v>8</v>
      </c>
      <c r="G72" s="226">
        <f>G37</f>
        <v>7</v>
      </c>
      <c r="H72" s="226">
        <f t="shared" si="8"/>
        <v>56</v>
      </c>
      <c r="I72" s="226">
        <f t="shared" si="9"/>
        <v>5.6000000000000005</v>
      </c>
      <c r="J72" s="226">
        <f t="shared" si="10"/>
        <v>2.8000000000000003</v>
      </c>
      <c r="K72" s="226">
        <f t="shared" si="11"/>
        <v>64.400000000000006</v>
      </c>
      <c r="L72" s="225">
        <f>ROUND(H72*Inputs!$G$82+I72*Inputs!$G$84+J72*Inputs!$G$83,0)</f>
        <v>6374</v>
      </c>
      <c r="M72" s="225">
        <f t="shared" si="12"/>
        <v>0</v>
      </c>
    </row>
    <row r="73" spans="2:13" x14ac:dyDescent="0.2">
      <c r="B73" s="167" t="s">
        <v>262</v>
      </c>
      <c r="C73" s="20">
        <v>4</v>
      </c>
      <c r="D73" s="102">
        <v>0</v>
      </c>
      <c r="E73" s="20">
        <v>2</v>
      </c>
      <c r="F73" s="145">
        <f t="shared" si="7"/>
        <v>8</v>
      </c>
      <c r="G73" s="145">
        <f>G49</f>
        <v>17</v>
      </c>
      <c r="H73" s="145">
        <f t="shared" si="8"/>
        <v>136</v>
      </c>
      <c r="I73" s="145">
        <f t="shared" si="9"/>
        <v>13.600000000000001</v>
      </c>
      <c r="J73" s="145">
        <f t="shared" si="10"/>
        <v>6.8000000000000007</v>
      </c>
      <c r="K73" s="145">
        <f t="shared" si="11"/>
        <v>156.4</v>
      </c>
      <c r="L73" s="102">
        <f>ROUND(H73*Inputs!$G$82+I73*Inputs!$G$84+J73*Inputs!$G$83,0)</f>
        <v>15480</v>
      </c>
      <c r="M73" s="102">
        <f t="shared" si="12"/>
        <v>0</v>
      </c>
    </row>
    <row r="74" spans="2:13" ht="22.5" x14ac:dyDescent="0.2">
      <c r="B74" s="223" t="s">
        <v>263</v>
      </c>
      <c r="C74" s="20">
        <v>4</v>
      </c>
      <c r="D74" s="102">
        <v>0</v>
      </c>
      <c r="E74" s="20">
        <v>2</v>
      </c>
      <c r="F74" s="145">
        <f t="shared" si="7"/>
        <v>8</v>
      </c>
      <c r="G74" s="145">
        <f>G60</f>
        <v>17</v>
      </c>
      <c r="H74" s="145">
        <f t="shared" si="8"/>
        <v>136</v>
      </c>
      <c r="I74" s="145">
        <f t="shared" si="9"/>
        <v>13.600000000000001</v>
      </c>
      <c r="J74" s="145">
        <f t="shared" si="10"/>
        <v>6.8000000000000007</v>
      </c>
      <c r="K74" s="145">
        <f t="shared" si="11"/>
        <v>156.4</v>
      </c>
      <c r="L74" s="102">
        <f>ROUND(H74*Inputs!$G$82+I74*Inputs!$G$84+J74*Inputs!$G$83,0)</f>
        <v>15480</v>
      </c>
      <c r="M74" s="102">
        <f t="shared" si="12"/>
        <v>0</v>
      </c>
    </row>
    <row r="75" spans="2:13" x14ac:dyDescent="0.2">
      <c r="B75" s="168" t="s">
        <v>264</v>
      </c>
      <c r="C75" s="20"/>
      <c r="D75" s="102"/>
      <c r="E75" s="20"/>
      <c r="F75" s="145"/>
      <c r="G75" s="145"/>
      <c r="H75" s="145"/>
      <c r="I75" s="145"/>
      <c r="J75" s="145"/>
      <c r="K75" s="145"/>
      <c r="L75" s="102"/>
      <c r="M75" s="102"/>
    </row>
    <row r="76" spans="2:13" x14ac:dyDescent="0.2">
      <c r="B76" s="223" t="s">
        <v>213</v>
      </c>
      <c r="C76" s="20">
        <v>10</v>
      </c>
      <c r="D76" s="102">
        <v>0</v>
      </c>
      <c r="E76" s="20">
        <v>1</v>
      </c>
      <c r="F76" s="145">
        <f t="shared" ref="F76:F78" si="13">C76*E76</f>
        <v>10</v>
      </c>
      <c r="G76" s="145">
        <f>G31</f>
        <v>126</v>
      </c>
      <c r="H76" s="145">
        <f t="shared" ref="H76:H78" si="14">G76*F76</f>
        <v>1260</v>
      </c>
      <c r="I76" s="145">
        <f t="shared" ref="I76:I78" si="15">H76*0.1</f>
        <v>126</v>
      </c>
      <c r="J76" s="145">
        <f t="shared" ref="J76:J78" si="16">H76*0.05</f>
        <v>63</v>
      </c>
      <c r="K76" s="145">
        <f t="shared" ref="K76:K78" si="17">SUM(H76:J76)</f>
        <v>1449</v>
      </c>
      <c r="L76" s="102">
        <f>ROUND(H76*Inputs!$G$82+I76*Inputs!$G$84+J76*Inputs!$G$83,0)</f>
        <v>143418</v>
      </c>
      <c r="M76" s="102">
        <f t="shared" ref="M76:M78" si="18">D76*E76*G76</f>
        <v>0</v>
      </c>
    </row>
    <row r="77" spans="2:13" x14ac:dyDescent="0.2">
      <c r="B77" s="223" t="s">
        <v>214</v>
      </c>
      <c r="C77" s="20">
        <v>10</v>
      </c>
      <c r="D77" s="102">
        <v>0</v>
      </c>
      <c r="E77" s="20">
        <v>1</v>
      </c>
      <c r="F77" s="145">
        <f t="shared" si="13"/>
        <v>10</v>
      </c>
      <c r="G77" s="145">
        <v>0</v>
      </c>
      <c r="H77" s="145">
        <f t="shared" si="14"/>
        <v>0</v>
      </c>
      <c r="I77" s="145">
        <f t="shared" si="15"/>
        <v>0</v>
      </c>
      <c r="J77" s="145">
        <f t="shared" si="16"/>
        <v>0</v>
      </c>
      <c r="K77" s="145">
        <f t="shared" si="17"/>
        <v>0</v>
      </c>
      <c r="L77" s="102">
        <f>ROUND(H77*Inputs!$G$82+I77*Inputs!$G$84+J77*Inputs!$G$83,0)</f>
        <v>0</v>
      </c>
      <c r="M77" s="102">
        <f t="shared" si="18"/>
        <v>0</v>
      </c>
    </row>
    <row r="78" spans="2:13" x14ac:dyDescent="0.2">
      <c r="B78" s="223" t="s">
        <v>215</v>
      </c>
      <c r="C78" s="20">
        <v>4</v>
      </c>
      <c r="D78" s="102">
        <v>0</v>
      </c>
      <c r="E78" s="20">
        <v>4</v>
      </c>
      <c r="F78" s="145">
        <f t="shared" si="13"/>
        <v>16</v>
      </c>
      <c r="G78" s="145">
        <f>G31</f>
        <v>126</v>
      </c>
      <c r="H78" s="145">
        <f t="shared" si="14"/>
        <v>2016</v>
      </c>
      <c r="I78" s="145">
        <f t="shared" si="15"/>
        <v>201.60000000000002</v>
      </c>
      <c r="J78" s="145">
        <f t="shared" si="16"/>
        <v>100.80000000000001</v>
      </c>
      <c r="K78" s="145">
        <f t="shared" si="17"/>
        <v>2318.4</v>
      </c>
      <c r="L78" s="102">
        <f>ROUND(H78*Inputs!$G$82+I78*Inputs!$G$84+J78*Inputs!$G$83,0)</f>
        <v>229469</v>
      </c>
      <c r="M78" s="102">
        <f t="shared" si="18"/>
        <v>0</v>
      </c>
    </row>
    <row r="79" spans="2:13" x14ac:dyDescent="0.2">
      <c r="B79" s="169" t="s">
        <v>67</v>
      </c>
      <c r="C79" s="20"/>
      <c r="D79" s="102"/>
      <c r="E79" s="20"/>
      <c r="F79" s="20"/>
      <c r="G79" s="20"/>
      <c r="H79" s="210">
        <f>SUM(H7:H78)</f>
        <v>10698.18</v>
      </c>
      <c r="I79" s="210">
        <f>SUM(I7:I78)</f>
        <v>1069.8180000000002</v>
      </c>
      <c r="J79" s="210">
        <f>SUM(J7:J78)</f>
        <v>534.90900000000011</v>
      </c>
      <c r="K79" s="210">
        <f>SUM(K7:K78)</f>
        <v>12302.906999999999</v>
      </c>
      <c r="L79" s="211">
        <f>SUM(L7:L78)</f>
        <v>1217707</v>
      </c>
      <c r="M79" s="211">
        <f>SUM(M7:M78)-M10-M13-M16-M40-M43-M19-M22-M25-M28-M31-M34-M37-M46-M49</f>
        <v>78504129.24000001</v>
      </c>
    </row>
    <row r="80" spans="2:13" x14ac:dyDescent="0.2">
      <c r="B80" s="164" t="s">
        <v>53</v>
      </c>
      <c r="C80" s="20"/>
      <c r="D80" s="102"/>
      <c r="E80" s="20"/>
      <c r="F80" s="20"/>
      <c r="G80" s="20"/>
      <c r="H80" s="20"/>
      <c r="I80" s="21"/>
      <c r="J80" s="21"/>
      <c r="K80" s="21"/>
      <c r="L80" s="102"/>
      <c r="M80" s="102"/>
    </row>
    <row r="81" spans="2:13" x14ac:dyDescent="0.2">
      <c r="B81" s="165" t="s">
        <v>54</v>
      </c>
      <c r="C81" s="20" t="s">
        <v>95</v>
      </c>
      <c r="D81" s="102"/>
      <c r="E81" s="20"/>
      <c r="F81" s="20"/>
      <c r="G81" s="20"/>
      <c r="H81" s="20"/>
      <c r="I81" s="21"/>
      <c r="J81" s="21"/>
      <c r="K81" s="21"/>
      <c r="L81" s="102"/>
      <c r="M81" s="102"/>
    </row>
    <row r="82" spans="2:13" x14ac:dyDescent="0.2">
      <c r="B82" s="165" t="s">
        <v>91</v>
      </c>
      <c r="C82" s="144" t="s">
        <v>58</v>
      </c>
      <c r="D82" s="102"/>
      <c r="E82" s="20"/>
      <c r="F82" s="20"/>
      <c r="G82" s="20"/>
      <c r="H82" s="20"/>
      <c r="I82" s="21"/>
      <c r="J82" s="21"/>
      <c r="K82" s="21"/>
      <c r="L82" s="102"/>
      <c r="M82" s="102"/>
    </row>
    <row r="83" spans="2:13" x14ac:dyDescent="0.2">
      <c r="B83" s="165" t="s">
        <v>55</v>
      </c>
      <c r="C83" s="144" t="s">
        <v>58</v>
      </c>
      <c r="D83" s="102"/>
      <c r="E83" s="20"/>
      <c r="F83" s="20"/>
      <c r="G83" s="20"/>
      <c r="H83" s="20"/>
      <c r="I83" s="21"/>
      <c r="J83" s="21"/>
      <c r="K83" s="21"/>
      <c r="L83" s="102"/>
      <c r="M83" s="102"/>
    </row>
    <row r="84" spans="2:13" x14ac:dyDescent="0.2">
      <c r="B84" s="165" t="s">
        <v>68</v>
      </c>
      <c r="C84" s="20"/>
      <c r="D84" s="102"/>
      <c r="E84" s="20"/>
      <c r="F84" s="20"/>
      <c r="G84" s="20"/>
      <c r="H84" s="20"/>
      <c r="I84" s="21"/>
      <c r="J84" s="21"/>
      <c r="K84" s="21"/>
      <c r="L84" s="102"/>
      <c r="M84" s="102"/>
    </row>
    <row r="85" spans="2:13" x14ac:dyDescent="0.2">
      <c r="B85" s="168" t="s">
        <v>265</v>
      </c>
      <c r="C85" s="20">
        <v>1</v>
      </c>
      <c r="D85" s="102">
        <v>0</v>
      </c>
      <c r="E85" s="20">
        <v>12</v>
      </c>
      <c r="F85" s="20">
        <f t="shared" ref="F85:F88" si="19">C85*E85</f>
        <v>12</v>
      </c>
      <c r="G85" s="21">
        <f>Inputs!J3</f>
        <v>9</v>
      </c>
      <c r="H85" s="145">
        <f t="shared" ref="H85:H101" si="20">G85*F85</f>
        <v>108</v>
      </c>
      <c r="I85" s="145">
        <f t="shared" ref="I85:I101" si="21">H85*0.1</f>
        <v>10.8</v>
      </c>
      <c r="J85" s="145">
        <f t="shared" ref="J85:J101" si="22">H85*0.05</f>
        <v>5.4</v>
      </c>
      <c r="K85" s="147">
        <f t="shared" ref="K85:K101" si="23">SUM(H85:J85)</f>
        <v>124.2</v>
      </c>
      <c r="L85" s="102">
        <f>ROUND(H85*Inputs!$G$82+I85*Inputs!$G$84+J85*Inputs!$G$83,0)</f>
        <v>12293</v>
      </c>
      <c r="M85" s="102">
        <f t="shared" ref="M85:M101" si="24">D85*E85*G85</f>
        <v>0</v>
      </c>
    </row>
    <row r="86" spans="2:13" x14ac:dyDescent="0.2">
      <c r="B86" s="168" t="s">
        <v>221</v>
      </c>
      <c r="C86" s="20">
        <v>0.4</v>
      </c>
      <c r="D86" s="102">
        <v>0</v>
      </c>
      <c r="E86" s="20">
        <v>365</v>
      </c>
      <c r="F86" s="20">
        <f t="shared" si="19"/>
        <v>146</v>
      </c>
      <c r="G86" s="266">
        <f>G64</f>
        <v>70.33</v>
      </c>
      <c r="H86" s="145">
        <f t="shared" si="20"/>
        <v>10268.18</v>
      </c>
      <c r="I86" s="145">
        <f t="shared" si="21"/>
        <v>1026.818</v>
      </c>
      <c r="J86" s="145">
        <f t="shared" si="22"/>
        <v>513.40899999999999</v>
      </c>
      <c r="K86" s="147">
        <f t="shared" si="23"/>
        <v>11808.406999999999</v>
      </c>
      <c r="L86" s="102">
        <f>ROUND(H86*Inputs!$G$82+I86*Inputs!$G$84+J86*Inputs!$G$83,0)</f>
        <v>1168765</v>
      </c>
      <c r="M86" s="102">
        <f t="shared" si="24"/>
        <v>0</v>
      </c>
    </row>
    <row r="87" spans="2:13" x14ac:dyDescent="0.2">
      <c r="B87" s="168" t="s">
        <v>216</v>
      </c>
      <c r="C87" s="20">
        <v>10</v>
      </c>
      <c r="D87" s="102">
        <v>0</v>
      </c>
      <c r="E87" s="20">
        <v>1</v>
      </c>
      <c r="F87" s="20">
        <f t="shared" si="19"/>
        <v>10</v>
      </c>
      <c r="G87" s="266">
        <f>G65</f>
        <v>70.33</v>
      </c>
      <c r="H87" s="145">
        <f t="shared" si="20"/>
        <v>703.3</v>
      </c>
      <c r="I87" s="145">
        <f t="shared" si="21"/>
        <v>70.33</v>
      </c>
      <c r="J87" s="145">
        <f t="shared" si="22"/>
        <v>35.164999999999999</v>
      </c>
      <c r="K87" s="147">
        <f t="shared" si="23"/>
        <v>808.79499999999996</v>
      </c>
      <c r="L87" s="102">
        <f>ROUND(H87*Inputs!$G$82+I87*Inputs!$G$84+J87*Inputs!$G$83,0)</f>
        <v>80052</v>
      </c>
      <c r="M87" s="102">
        <f t="shared" si="24"/>
        <v>0</v>
      </c>
    </row>
    <row r="88" spans="2:13" x14ac:dyDescent="0.2">
      <c r="B88" s="168" t="s">
        <v>267</v>
      </c>
      <c r="C88" s="20">
        <v>0</v>
      </c>
      <c r="D88" s="102">
        <v>0</v>
      </c>
      <c r="E88" s="20">
        <v>1</v>
      </c>
      <c r="F88" s="20">
        <f t="shared" si="19"/>
        <v>0</v>
      </c>
      <c r="G88" s="21">
        <v>0</v>
      </c>
      <c r="H88" s="145">
        <f t="shared" si="20"/>
        <v>0</v>
      </c>
      <c r="I88" s="145">
        <f t="shared" si="21"/>
        <v>0</v>
      </c>
      <c r="J88" s="145">
        <f t="shared" si="22"/>
        <v>0</v>
      </c>
      <c r="K88" s="147">
        <f t="shared" si="23"/>
        <v>0</v>
      </c>
      <c r="L88" s="102">
        <f>ROUND(H88*Inputs!$G$82+I88*Inputs!$G$84+J88*Inputs!$G$83,0)</f>
        <v>0</v>
      </c>
      <c r="M88" s="102">
        <f t="shared" si="24"/>
        <v>0</v>
      </c>
    </row>
    <row r="89" spans="2:13" x14ac:dyDescent="0.2">
      <c r="B89" s="168" t="s">
        <v>217</v>
      </c>
      <c r="C89" s="20">
        <v>1</v>
      </c>
      <c r="D89" s="102">
        <v>0</v>
      </c>
      <c r="E89" s="20">
        <v>1</v>
      </c>
      <c r="F89" s="20">
        <f>C89*E89</f>
        <v>1</v>
      </c>
      <c r="G89" s="266">
        <f>G66</f>
        <v>70.33</v>
      </c>
      <c r="H89" s="145">
        <f t="shared" si="20"/>
        <v>70.33</v>
      </c>
      <c r="I89" s="145">
        <f t="shared" si="21"/>
        <v>7.0330000000000004</v>
      </c>
      <c r="J89" s="145">
        <f t="shared" si="22"/>
        <v>3.5165000000000002</v>
      </c>
      <c r="K89" s="147">
        <f t="shared" si="23"/>
        <v>80.879499999999993</v>
      </c>
      <c r="L89" s="102">
        <f>ROUND(H89*Inputs!$G$82+I89*Inputs!$G$84+J89*Inputs!$G$83,0)</f>
        <v>8005</v>
      </c>
      <c r="M89" s="102">
        <f t="shared" si="24"/>
        <v>0</v>
      </c>
    </row>
    <row r="90" spans="2:13" x14ac:dyDescent="0.2">
      <c r="B90" s="168" t="s">
        <v>268</v>
      </c>
      <c r="C90" s="20">
        <v>0</v>
      </c>
      <c r="D90" s="102">
        <v>0</v>
      </c>
      <c r="E90" s="20">
        <v>1</v>
      </c>
      <c r="F90" s="20">
        <f t="shared" ref="F90:F101" si="25">C90*E90</f>
        <v>0</v>
      </c>
      <c r="G90" s="21">
        <f>G67</f>
        <v>0</v>
      </c>
      <c r="H90" s="145">
        <f t="shared" si="20"/>
        <v>0</v>
      </c>
      <c r="I90" s="145">
        <f t="shared" si="21"/>
        <v>0</v>
      </c>
      <c r="J90" s="145">
        <f t="shared" si="22"/>
        <v>0</v>
      </c>
      <c r="K90" s="147">
        <f t="shared" si="23"/>
        <v>0</v>
      </c>
      <c r="L90" s="102">
        <f>ROUND(H90*Inputs!$G$82+I90*Inputs!$G$84+J90*Inputs!$G$83,0)</f>
        <v>0</v>
      </c>
      <c r="M90" s="102">
        <f t="shared" si="24"/>
        <v>0</v>
      </c>
    </row>
    <row r="91" spans="2:13" ht="22.5" x14ac:dyDescent="0.2">
      <c r="B91" s="166" t="s">
        <v>275</v>
      </c>
      <c r="C91" s="224">
        <v>2</v>
      </c>
      <c r="D91" s="225">
        <v>0</v>
      </c>
      <c r="E91" s="224">
        <v>1</v>
      </c>
      <c r="F91" s="224">
        <f t="shared" si="25"/>
        <v>2</v>
      </c>
      <c r="G91" s="227">
        <f>G61</f>
        <v>7</v>
      </c>
      <c r="H91" s="226">
        <f t="shared" si="20"/>
        <v>14</v>
      </c>
      <c r="I91" s="226">
        <f t="shared" si="21"/>
        <v>1.4000000000000001</v>
      </c>
      <c r="J91" s="226">
        <f t="shared" si="22"/>
        <v>0.70000000000000007</v>
      </c>
      <c r="K91" s="147">
        <f t="shared" si="23"/>
        <v>16.100000000000001</v>
      </c>
      <c r="L91" s="225">
        <f>ROUND(H91*Inputs!$G$82+I91*Inputs!$G$84+J91*Inputs!$G$83,0)</f>
        <v>1594</v>
      </c>
      <c r="M91" s="225">
        <f t="shared" si="24"/>
        <v>0</v>
      </c>
    </row>
    <row r="92" spans="2:13" x14ac:dyDescent="0.2">
      <c r="B92" s="168" t="s">
        <v>218</v>
      </c>
      <c r="C92" s="20">
        <v>75</v>
      </c>
      <c r="D92" s="102">
        <v>0</v>
      </c>
      <c r="E92" s="20">
        <v>1</v>
      </c>
      <c r="F92" s="20">
        <f t="shared" si="25"/>
        <v>75</v>
      </c>
      <c r="G92" s="266">
        <f>G64</f>
        <v>70.33</v>
      </c>
      <c r="H92" s="145">
        <f t="shared" si="20"/>
        <v>5274.75</v>
      </c>
      <c r="I92" s="145">
        <f t="shared" si="21"/>
        <v>527.47500000000002</v>
      </c>
      <c r="J92" s="145">
        <f t="shared" si="22"/>
        <v>263.73750000000001</v>
      </c>
      <c r="K92" s="147">
        <f t="shared" si="23"/>
        <v>6065.9625000000005</v>
      </c>
      <c r="L92" s="102">
        <f>ROUND(H92*Inputs!$G$82+I92*Inputs!$G$84+J92*Inputs!$G$83,0)</f>
        <v>600393</v>
      </c>
      <c r="M92" s="102">
        <f t="shared" si="24"/>
        <v>0</v>
      </c>
    </row>
    <row r="93" spans="2:13" x14ac:dyDescent="0.2">
      <c r="B93" s="168" t="s">
        <v>219</v>
      </c>
      <c r="C93" s="20">
        <v>3</v>
      </c>
      <c r="D93" s="102">
        <v>0</v>
      </c>
      <c r="E93" s="20">
        <v>1</v>
      </c>
      <c r="F93" s="145">
        <f t="shared" si="25"/>
        <v>3</v>
      </c>
      <c r="G93" s="266">
        <f>G69</f>
        <v>70.33</v>
      </c>
      <c r="H93" s="145">
        <f t="shared" si="20"/>
        <v>210.99</v>
      </c>
      <c r="I93" s="145">
        <f t="shared" si="21"/>
        <v>21.099000000000004</v>
      </c>
      <c r="J93" s="145">
        <f t="shared" si="22"/>
        <v>10.549500000000002</v>
      </c>
      <c r="K93" s="145">
        <f t="shared" si="23"/>
        <v>242.63849999999999</v>
      </c>
      <c r="L93" s="102">
        <f>ROUND(H93*Inputs!$G$82+I93*Inputs!$G$84+J93*Inputs!$G$83,0)</f>
        <v>24016</v>
      </c>
      <c r="M93" s="102">
        <f t="shared" si="24"/>
        <v>0</v>
      </c>
    </row>
    <row r="94" spans="2:13" ht="33.75" x14ac:dyDescent="0.2">
      <c r="B94" s="166" t="s">
        <v>271</v>
      </c>
      <c r="C94" s="20">
        <v>1</v>
      </c>
      <c r="D94" s="102">
        <v>0</v>
      </c>
      <c r="E94" s="20">
        <v>1</v>
      </c>
      <c r="F94" s="145">
        <f t="shared" si="25"/>
        <v>1</v>
      </c>
      <c r="G94" s="21">
        <f>G70</f>
        <v>2</v>
      </c>
      <c r="H94" s="145">
        <f t="shared" si="20"/>
        <v>2</v>
      </c>
      <c r="I94" s="145">
        <f t="shared" si="21"/>
        <v>0.2</v>
      </c>
      <c r="J94" s="145">
        <f t="shared" si="22"/>
        <v>0.1</v>
      </c>
      <c r="K94" s="145">
        <f t="shared" si="23"/>
        <v>2.3000000000000003</v>
      </c>
      <c r="L94" s="102">
        <f>ROUND(H94*Inputs!$G$82+I94*Inputs!$G$84+J94*Inputs!$G$83,0)</f>
        <v>228</v>
      </c>
      <c r="M94" s="102">
        <f t="shared" si="24"/>
        <v>0</v>
      </c>
    </row>
    <row r="95" spans="2:13" x14ac:dyDescent="0.2">
      <c r="B95" s="168" t="s">
        <v>272</v>
      </c>
      <c r="C95" s="20">
        <v>1</v>
      </c>
      <c r="D95" s="102">
        <v>0</v>
      </c>
      <c r="E95" s="20">
        <v>1</v>
      </c>
      <c r="F95" s="145">
        <f t="shared" si="25"/>
        <v>1</v>
      </c>
      <c r="G95" s="21">
        <f>G28</f>
        <v>21</v>
      </c>
      <c r="H95" s="145">
        <f t="shared" si="20"/>
        <v>21</v>
      </c>
      <c r="I95" s="145">
        <f t="shared" si="21"/>
        <v>2.1</v>
      </c>
      <c r="J95" s="145">
        <f t="shared" si="22"/>
        <v>1.05</v>
      </c>
      <c r="K95" s="145">
        <f t="shared" si="23"/>
        <v>24.150000000000002</v>
      </c>
      <c r="L95" s="102">
        <f>ROUND(H95*Inputs!$G$82+I95*Inputs!$G$84+J95*Inputs!$G$83,0)</f>
        <v>2390</v>
      </c>
      <c r="M95" s="102">
        <f t="shared" si="24"/>
        <v>0</v>
      </c>
    </row>
    <row r="96" spans="2:13" x14ac:dyDescent="0.2">
      <c r="B96" s="168" t="s">
        <v>220</v>
      </c>
      <c r="C96" s="20">
        <v>2</v>
      </c>
      <c r="D96" s="102">
        <v>0</v>
      </c>
      <c r="E96" s="20">
        <v>1</v>
      </c>
      <c r="F96" s="145">
        <f t="shared" si="25"/>
        <v>2</v>
      </c>
      <c r="G96" s="266">
        <f>G71</f>
        <v>70.33</v>
      </c>
      <c r="H96" s="145">
        <f t="shared" si="20"/>
        <v>140.66</v>
      </c>
      <c r="I96" s="145">
        <f t="shared" si="21"/>
        <v>14.066000000000001</v>
      </c>
      <c r="J96" s="145">
        <f t="shared" si="22"/>
        <v>7.0330000000000004</v>
      </c>
      <c r="K96" s="145">
        <f t="shared" si="23"/>
        <v>161.75899999999999</v>
      </c>
      <c r="L96" s="102">
        <f>ROUND(H96*Inputs!$G$82+I96*Inputs!$G$84+J96*Inputs!$G$83,0)</f>
        <v>16010</v>
      </c>
      <c r="M96" s="102">
        <f t="shared" si="24"/>
        <v>0</v>
      </c>
    </row>
    <row r="97" spans="2:15" x14ac:dyDescent="0.2">
      <c r="B97" s="168" t="s">
        <v>273</v>
      </c>
      <c r="C97" s="20">
        <v>10</v>
      </c>
      <c r="D97" s="102">
        <v>0</v>
      </c>
      <c r="E97" s="20">
        <v>1</v>
      </c>
      <c r="F97" s="20">
        <f t="shared" si="25"/>
        <v>10</v>
      </c>
      <c r="G97" s="21">
        <f>G73</f>
        <v>17</v>
      </c>
      <c r="H97" s="145">
        <f t="shared" si="20"/>
        <v>170</v>
      </c>
      <c r="I97" s="145">
        <f t="shared" si="21"/>
        <v>17</v>
      </c>
      <c r="J97" s="145">
        <f t="shared" si="22"/>
        <v>8.5</v>
      </c>
      <c r="K97" s="147">
        <f t="shared" si="23"/>
        <v>195.5</v>
      </c>
      <c r="L97" s="102">
        <f>ROUND(H97*Inputs!$G$82+I97*Inputs!$G$84+J97*Inputs!$G$83,0)</f>
        <v>19350</v>
      </c>
      <c r="M97" s="102">
        <f t="shared" si="24"/>
        <v>0</v>
      </c>
    </row>
    <row r="98" spans="2:15" ht="21.6" customHeight="1" x14ac:dyDescent="0.2">
      <c r="B98" s="166" t="s">
        <v>274</v>
      </c>
      <c r="C98" s="20">
        <v>10</v>
      </c>
      <c r="D98" s="102">
        <v>0</v>
      </c>
      <c r="E98" s="20">
        <v>1</v>
      </c>
      <c r="F98" s="20">
        <f t="shared" si="25"/>
        <v>10</v>
      </c>
      <c r="G98" s="21">
        <f>G74</f>
        <v>17</v>
      </c>
      <c r="H98" s="145">
        <f t="shared" si="20"/>
        <v>170</v>
      </c>
      <c r="I98" s="145">
        <f t="shared" si="21"/>
        <v>17</v>
      </c>
      <c r="J98" s="145">
        <f t="shared" si="22"/>
        <v>8.5</v>
      </c>
      <c r="K98" s="147">
        <f t="shared" si="23"/>
        <v>195.5</v>
      </c>
      <c r="L98" s="102">
        <f>ROUND(H98*Inputs!$G$82+I98*Inputs!$G$84+J98*Inputs!$G$83,0)</f>
        <v>19350</v>
      </c>
      <c r="M98" s="102">
        <f t="shared" si="24"/>
        <v>0</v>
      </c>
    </row>
    <row r="99" spans="2:15" ht="22.5" x14ac:dyDescent="0.2">
      <c r="B99" s="166" t="s">
        <v>276</v>
      </c>
      <c r="C99" s="20">
        <v>0.4</v>
      </c>
      <c r="D99" s="102">
        <v>0</v>
      </c>
      <c r="E99" s="20">
        <v>365</v>
      </c>
      <c r="F99" s="20">
        <f t="shared" si="25"/>
        <v>146</v>
      </c>
      <c r="G99" s="21">
        <f>G78</f>
        <v>126</v>
      </c>
      <c r="H99" s="145">
        <f t="shared" si="20"/>
        <v>18396</v>
      </c>
      <c r="I99" s="145">
        <f t="shared" si="21"/>
        <v>1839.6000000000001</v>
      </c>
      <c r="J99" s="145">
        <f t="shared" si="22"/>
        <v>919.80000000000007</v>
      </c>
      <c r="K99" s="147">
        <f t="shared" si="23"/>
        <v>21155.399999999998</v>
      </c>
      <c r="L99" s="102">
        <f>ROUND(H99*Inputs!$G$82+I99*Inputs!$G$84+J99*Inputs!$G$83,0)</f>
        <v>2093906</v>
      </c>
      <c r="M99" s="102">
        <f t="shared" si="24"/>
        <v>0</v>
      </c>
    </row>
    <row r="100" spans="2:15" x14ac:dyDescent="0.2">
      <c r="B100" s="168" t="s">
        <v>277</v>
      </c>
      <c r="C100" s="20">
        <v>1</v>
      </c>
      <c r="D100" s="102">
        <v>0</v>
      </c>
      <c r="E100" s="20">
        <v>365</v>
      </c>
      <c r="F100" s="20">
        <f t="shared" si="25"/>
        <v>365</v>
      </c>
      <c r="G100" s="21">
        <f>G78</f>
        <v>126</v>
      </c>
      <c r="H100" s="145">
        <f t="shared" si="20"/>
        <v>45990</v>
      </c>
      <c r="I100" s="145">
        <f t="shared" si="21"/>
        <v>4599</v>
      </c>
      <c r="J100" s="145">
        <f t="shared" si="22"/>
        <v>2299.5</v>
      </c>
      <c r="K100" s="147">
        <f t="shared" si="23"/>
        <v>52888.5</v>
      </c>
      <c r="L100" s="102">
        <f>ROUND(H100*Inputs!$G$82+I100*Inputs!$G$84+J100*Inputs!$G$83,0)</f>
        <v>5234766</v>
      </c>
      <c r="M100" s="102">
        <f t="shared" si="24"/>
        <v>0</v>
      </c>
    </row>
    <row r="101" spans="2:15" x14ac:dyDescent="0.2">
      <c r="B101" s="165" t="s">
        <v>266</v>
      </c>
      <c r="C101" s="20">
        <v>16</v>
      </c>
      <c r="D101" s="102">
        <v>0</v>
      </c>
      <c r="E101" s="20">
        <v>1</v>
      </c>
      <c r="F101" s="20">
        <f t="shared" si="25"/>
        <v>16</v>
      </c>
      <c r="G101" s="266">
        <f>G7</f>
        <v>0.66</v>
      </c>
      <c r="H101" s="145">
        <f t="shared" si="20"/>
        <v>10.56</v>
      </c>
      <c r="I101" s="145">
        <f t="shared" si="21"/>
        <v>1.056</v>
      </c>
      <c r="J101" s="145">
        <f t="shared" si="22"/>
        <v>0.52800000000000002</v>
      </c>
      <c r="K101" s="147">
        <f t="shared" si="23"/>
        <v>12.144</v>
      </c>
      <c r="L101" s="102">
        <f>ROUND(H101*Inputs!$G$82+I101*Inputs!$G$84+J101*Inputs!$G$83,0)</f>
        <v>1202</v>
      </c>
      <c r="M101" s="102">
        <f t="shared" si="24"/>
        <v>0</v>
      </c>
    </row>
    <row r="102" spans="2:15" x14ac:dyDescent="0.2">
      <c r="B102" s="165" t="s">
        <v>69</v>
      </c>
      <c r="C102" s="20" t="s">
        <v>58</v>
      </c>
      <c r="D102" s="102"/>
      <c r="E102" s="20"/>
      <c r="F102" s="20"/>
      <c r="G102" s="20"/>
      <c r="H102" s="145"/>
      <c r="I102" s="145"/>
      <c r="J102" s="145"/>
      <c r="K102" s="145"/>
      <c r="L102" s="102"/>
      <c r="M102" s="102"/>
    </row>
    <row r="103" spans="2:15" ht="12" thickBot="1" x14ac:dyDescent="0.25">
      <c r="B103" s="177" t="s">
        <v>56</v>
      </c>
      <c r="C103" s="178"/>
      <c r="D103" s="178"/>
      <c r="E103" s="178"/>
      <c r="F103" s="178"/>
      <c r="G103" s="178"/>
      <c r="H103" s="212">
        <f t="shared" ref="H103:M103" si="26">SUM(H85:H101)</f>
        <v>81549.76999999999</v>
      </c>
      <c r="I103" s="212">
        <f t="shared" si="26"/>
        <v>8154.9769999999999</v>
      </c>
      <c r="J103" s="212">
        <f t="shared" si="26"/>
        <v>4077.4884999999999</v>
      </c>
      <c r="K103" s="212">
        <f t="shared" si="26"/>
        <v>93782.235499999995</v>
      </c>
      <c r="L103" s="213">
        <f t="shared" si="26"/>
        <v>9282320</v>
      </c>
      <c r="M103" s="213">
        <f t="shared" si="26"/>
        <v>0</v>
      </c>
    </row>
    <row r="104" spans="2:15" s="142" customFormat="1" ht="13.5" customHeight="1" thickTop="1" x14ac:dyDescent="0.25">
      <c r="B104" s="175" t="s">
        <v>31</v>
      </c>
      <c r="C104" s="176"/>
      <c r="D104" s="176"/>
      <c r="E104" s="176"/>
      <c r="F104" s="176"/>
      <c r="G104" s="176"/>
      <c r="H104" s="214">
        <f t="shared" ref="H104:M104" si="27">H103+H79</f>
        <v>92247.949999999983</v>
      </c>
      <c r="I104" s="214">
        <f t="shared" si="27"/>
        <v>9224.7950000000001</v>
      </c>
      <c r="J104" s="214">
        <f t="shared" si="27"/>
        <v>4612.3975</v>
      </c>
      <c r="K104" s="214">
        <f t="shared" si="27"/>
        <v>106085.14249999999</v>
      </c>
      <c r="L104" s="215">
        <f t="shared" si="27"/>
        <v>10500027</v>
      </c>
      <c r="M104" s="215">
        <f t="shared" si="27"/>
        <v>78504129.24000001</v>
      </c>
      <c r="O104" s="143"/>
    </row>
    <row r="105" spans="2:15" ht="7.5" customHeight="1" x14ac:dyDescent="0.2">
      <c r="B105" s="170"/>
      <c r="G105" s="11"/>
      <c r="H105" s="9"/>
      <c r="I105" s="10"/>
      <c r="J105" s="10"/>
      <c r="K105" s="12"/>
      <c r="L105" s="12"/>
      <c r="M105" s="12"/>
    </row>
    <row r="106" spans="2:15" x14ac:dyDescent="0.2">
      <c r="B106" s="170"/>
      <c r="G106" s="9"/>
      <c r="H106" s="9"/>
      <c r="I106" s="10"/>
      <c r="J106" s="135" t="s">
        <v>51</v>
      </c>
      <c r="K106" s="135" t="s">
        <v>70</v>
      </c>
      <c r="L106" s="146" t="s">
        <v>71</v>
      </c>
      <c r="M106" s="146" t="s">
        <v>43</v>
      </c>
    </row>
    <row r="107" spans="2:15" x14ac:dyDescent="0.2">
      <c r="B107" s="170"/>
      <c r="G107" s="136" t="s">
        <v>72</v>
      </c>
      <c r="H107" s="137"/>
      <c r="I107" s="141"/>
      <c r="J107" s="135">
        <f>H104+I104+J104</f>
        <v>106085.14249999999</v>
      </c>
      <c r="K107" s="108">
        <f>L104</f>
        <v>10500027</v>
      </c>
      <c r="L107" s="108">
        <f>M104</f>
        <v>78504129.24000001</v>
      </c>
      <c r="M107" s="108">
        <f>L107+K107</f>
        <v>89004156.24000001</v>
      </c>
    </row>
    <row r="108" spans="2:15" ht="7.5" customHeight="1" x14ac:dyDescent="0.2">
      <c r="B108" s="170"/>
      <c r="G108" s="11"/>
      <c r="H108" s="9"/>
      <c r="I108" s="10"/>
      <c r="J108" s="10"/>
      <c r="K108" s="12"/>
      <c r="L108" s="12"/>
      <c r="M108" s="12"/>
    </row>
    <row r="109" spans="2:15" x14ac:dyDescent="0.2">
      <c r="B109" s="170"/>
      <c r="G109" s="136" t="s">
        <v>73</v>
      </c>
      <c r="H109" s="137"/>
      <c r="I109" s="138"/>
      <c r="J109" s="138"/>
      <c r="K109" s="139"/>
      <c r="L109" s="140"/>
      <c r="M109" s="108">
        <f>L7++M10+M13+M16+M40+M43</f>
        <v>116192261.81999999</v>
      </c>
    </row>
    <row r="110" spans="2:15" x14ac:dyDescent="0.2">
      <c r="B110" s="171"/>
      <c r="C110" s="172"/>
      <c r="D110" s="172"/>
      <c r="E110" s="172"/>
      <c r="F110" s="172"/>
      <c r="G110" s="136" t="s">
        <v>74</v>
      </c>
      <c r="H110" s="173"/>
      <c r="I110" s="173"/>
      <c r="J110" s="173"/>
      <c r="K110" s="139"/>
      <c r="L110" s="174"/>
      <c r="M110" s="108">
        <f>M104</f>
        <v>78504129.24000001</v>
      </c>
    </row>
    <row r="111" spans="2:15" ht="8.25" customHeight="1" x14ac:dyDescent="0.2"/>
    <row r="112" spans="2:15" x14ac:dyDescent="0.2">
      <c r="B112" s="16" t="s">
        <v>86</v>
      </c>
      <c r="L112" s="22"/>
    </row>
    <row r="113" spans="2:13" ht="22.9" customHeight="1" x14ac:dyDescent="0.2">
      <c r="B113" s="295" t="s">
        <v>279</v>
      </c>
      <c r="C113" s="295"/>
      <c r="D113" s="295"/>
      <c r="E113" s="295"/>
      <c r="F113" s="295"/>
      <c r="G113" s="295"/>
      <c r="H113" s="295"/>
      <c r="I113" s="295"/>
      <c r="J113" s="295"/>
      <c r="K113" s="295"/>
      <c r="L113" s="295"/>
      <c r="M113" s="295"/>
    </row>
    <row r="114" spans="2:13" ht="43.9" customHeight="1" x14ac:dyDescent="0.2">
      <c r="B114" s="295" t="s">
        <v>278</v>
      </c>
      <c r="C114" s="295"/>
      <c r="D114" s="295"/>
      <c r="E114" s="295"/>
      <c r="F114" s="295"/>
      <c r="G114" s="295"/>
      <c r="H114" s="295"/>
      <c r="I114" s="295"/>
      <c r="J114" s="295"/>
      <c r="K114" s="295"/>
      <c r="L114" s="295"/>
      <c r="M114" s="295"/>
    </row>
    <row r="115" spans="2:13" ht="13.15" customHeight="1" x14ac:dyDescent="0.2">
      <c r="B115" s="295" t="s">
        <v>280</v>
      </c>
      <c r="C115" s="295"/>
      <c r="D115" s="295"/>
      <c r="E115" s="295"/>
      <c r="F115" s="295"/>
      <c r="G115" s="295"/>
      <c r="H115" s="295"/>
      <c r="I115" s="295"/>
      <c r="J115" s="295"/>
      <c r="K115" s="295"/>
      <c r="L115" s="295"/>
      <c r="M115" s="295"/>
    </row>
    <row r="116" spans="2:13" ht="10.15" customHeight="1" x14ac:dyDescent="0.2">
      <c r="B116" s="294" t="s">
        <v>281</v>
      </c>
      <c r="C116" s="294"/>
      <c r="D116" s="294"/>
      <c r="E116" s="294"/>
      <c r="F116" s="294"/>
      <c r="G116" s="294"/>
      <c r="H116" s="294"/>
      <c r="I116" s="294"/>
      <c r="J116" s="294"/>
      <c r="K116" s="294"/>
      <c r="L116" s="294"/>
      <c r="M116" s="294"/>
    </row>
    <row r="117" spans="2:13" ht="10.15" customHeight="1" x14ac:dyDescent="0.2">
      <c r="B117" s="295" t="s">
        <v>283</v>
      </c>
      <c r="C117" s="295"/>
      <c r="D117" s="295"/>
      <c r="E117" s="295"/>
      <c r="F117" s="295"/>
      <c r="G117" s="295"/>
      <c r="H117" s="295"/>
      <c r="I117" s="295"/>
      <c r="J117" s="295"/>
      <c r="K117" s="295"/>
      <c r="L117" s="295"/>
      <c r="M117" s="295"/>
    </row>
    <row r="118" spans="2:13" ht="10.15" customHeight="1" x14ac:dyDescent="0.2">
      <c r="B118" s="295" t="s">
        <v>284</v>
      </c>
      <c r="C118" s="295"/>
      <c r="D118" s="295"/>
      <c r="E118" s="295"/>
      <c r="F118" s="295"/>
      <c r="G118" s="295"/>
      <c r="H118" s="295"/>
      <c r="I118" s="295"/>
      <c r="J118" s="295"/>
      <c r="K118" s="295"/>
      <c r="L118" s="295"/>
      <c r="M118" s="295"/>
    </row>
    <row r="119" spans="2:13" ht="12" customHeight="1" x14ac:dyDescent="0.2">
      <c r="B119" s="295" t="s">
        <v>285</v>
      </c>
      <c r="C119" s="295"/>
      <c r="D119" s="295"/>
      <c r="E119" s="295"/>
      <c r="F119" s="295"/>
      <c r="G119" s="295"/>
      <c r="H119" s="295"/>
      <c r="I119" s="295"/>
      <c r="J119" s="295"/>
      <c r="K119" s="295"/>
      <c r="L119" s="295"/>
      <c r="M119" s="295"/>
    </row>
    <row r="120" spans="2:13" ht="21.6" customHeight="1" x14ac:dyDescent="0.2">
      <c r="B120" s="295" t="s">
        <v>286</v>
      </c>
      <c r="C120" s="295"/>
      <c r="D120" s="295"/>
      <c r="E120" s="295"/>
      <c r="F120" s="295"/>
      <c r="G120" s="295"/>
      <c r="H120" s="295"/>
      <c r="I120" s="295"/>
      <c r="J120" s="295"/>
      <c r="K120" s="295"/>
      <c r="L120" s="295"/>
      <c r="M120" s="295"/>
    </row>
    <row r="121" spans="2:13" ht="11.25" customHeight="1" x14ac:dyDescent="0.2">
      <c r="B121" s="295" t="s">
        <v>287</v>
      </c>
      <c r="C121" s="295"/>
      <c r="D121" s="295"/>
      <c r="E121" s="295"/>
      <c r="F121" s="295"/>
      <c r="G121" s="295"/>
      <c r="H121" s="295"/>
      <c r="I121" s="295"/>
      <c r="J121" s="295"/>
      <c r="K121" s="295"/>
      <c r="L121" s="295"/>
      <c r="M121" s="295"/>
    </row>
    <row r="122" spans="2:13" x14ac:dyDescent="0.2">
      <c r="B122" s="294" t="s">
        <v>288</v>
      </c>
      <c r="C122" s="294"/>
      <c r="D122" s="294"/>
      <c r="E122" s="294"/>
      <c r="F122" s="294"/>
      <c r="G122" s="294"/>
      <c r="H122" s="294"/>
      <c r="I122" s="294"/>
      <c r="J122" s="294"/>
      <c r="K122" s="294"/>
      <c r="L122" s="294"/>
      <c r="M122" s="294"/>
    </row>
    <row r="123" spans="2:13" x14ac:dyDescent="0.2">
      <c r="B123" s="292" t="s">
        <v>289</v>
      </c>
      <c r="C123" s="292"/>
      <c r="D123" s="292"/>
      <c r="E123" s="292"/>
      <c r="F123" s="292"/>
      <c r="G123" s="292"/>
      <c r="H123" s="292"/>
      <c r="I123" s="292"/>
      <c r="J123" s="292"/>
      <c r="K123" s="292"/>
      <c r="L123" s="292"/>
      <c r="M123" s="292"/>
    </row>
  </sheetData>
  <sheetProtection algorithmName="SHA-512" hashValue="Hnh7+MAvIf4o21o9wRE/lBhWG/1gtlp8oV6RdEncMzVOg2PZCWPRmYuG8Xlz++U1M/C4VaVSzyJh2Dq+CKV2ng==" saltValue="cTGFQpiJBPT1lyp8bKDRAQ==" spinCount="100000" sheet="1" objects="1" scenarios="1"/>
  <mergeCells count="12">
    <mergeCell ref="B118:M118"/>
    <mergeCell ref="B2:M2"/>
    <mergeCell ref="B114:M114"/>
    <mergeCell ref="B115:M115"/>
    <mergeCell ref="B116:M116"/>
    <mergeCell ref="B117:M117"/>
    <mergeCell ref="B113:M113"/>
    <mergeCell ref="B119:M119"/>
    <mergeCell ref="B120:M120"/>
    <mergeCell ref="B121:M121"/>
    <mergeCell ref="B122:M122"/>
    <mergeCell ref="B123:M123"/>
  </mergeCells>
  <printOptions horizontalCentered="1"/>
  <pageMargins left="0.5" right="0.5" top="0.5" bottom="0.5" header="0.3" footer="0.3"/>
  <pageSetup scale="86" fitToHeight="2" orientation="landscape" r:id="rId1"/>
  <rowBreaks count="1" manualBreakCount="1">
    <brk id="79"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F358-B715-49F7-B91D-243200139FE5}">
  <sheetPr>
    <tabColor rgb="FF7030A0"/>
  </sheetPr>
  <dimension ref="B2:O123"/>
  <sheetViews>
    <sheetView zoomScaleNormal="100" zoomScaleSheetLayoutView="80" workbookViewId="0">
      <pane ySplit="3" topLeftCell="A84" activePane="bottomLeft" state="frozen"/>
      <selection activeCell="Q53" sqref="Q53"/>
      <selection pane="bottomLeft"/>
    </sheetView>
  </sheetViews>
  <sheetFormatPr defaultColWidth="9.140625" defaultRowHeight="11.25" x14ac:dyDescent="0.2"/>
  <cols>
    <col min="1" max="1" width="2.140625" style="16" customWidth="1"/>
    <col min="2" max="2" width="32.5703125" style="16" customWidth="1"/>
    <col min="3" max="4" width="9.28515625" style="16" bestFit="1" customWidth="1"/>
    <col min="5" max="5" width="10.140625" style="16" bestFit="1" customWidth="1"/>
    <col min="6" max="6" width="9.7109375" style="16" customWidth="1"/>
    <col min="7" max="7" width="10.140625" style="16" bestFit="1" customWidth="1"/>
    <col min="8" max="8" width="7.85546875" style="16" bestFit="1" customWidth="1"/>
    <col min="9" max="9" width="8.85546875" style="16" bestFit="1" customWidth="1"/>
    <col min="10" max="10" width="9.7109375" style="16" bestFit="1" customWidth="1"/>
    <col min="11" max="11" width="9.28515625" style="16" bestFit="1" customWidth="1"/>
    <col min="12" max="12" width="10.140625" style="16" bestFit="1" customWidth="1"/>
    <col min="13" max="13" width="11.28515625" style="16" bestFit="1" customWidth="1"/>
    <col min="14" max="14" width="2.5703125" style="16" customWidth="1"/>
    <col min="15" max="15" width="29.140625" style="92" customWidth="1"/>
    <col min="16" max="16384" width="9.140625" style="16"/>
  </cols>
  <sheetData>
    <row r="2" spans="2:13" ht="15.75" x14ac:dyDescent="0.2">
      <c r="B2" s="293" t="s">
        <v>308</v>
      </c>
      <c r="C2" s="293"/>
      <c r="D2" s="293"/>
      <c r="E2" s="293"/>
      <c r="F2" s="293"/>
      <c r="G2" s="293"/>
      <c r="H2" s="293"/>
      <c r="I2" s="293"/>
      <c r="J2" s="293"/>
      <c r="K2" s="293"/>
      <c r="L2" s="293"/>
      <c r="M2" s="293"/>
    </row>
    <row r="3" spans="2:13" s="19" customFormat="1" ht="69.75" customHeight="1" x14ac:dyDescent="0.2">
      <c r="B3" s="144" t="s">
        <v>2</v>
      </c>
      <c r="C3" s="144" t="s">
        <v>3</v>
      </c>
      <c r="D3" s="144" t="s">
        <v>75</v>
      </c>
      <c r="E3" s="144" t="s">
        <v>82</v>
      </c>
      <c r="F3" s="144" t="s">
        <v>99</v>
      </c>
      <c r="G3" s="162" t="s">
        <v>83</v>
      </c>
      <c r="H3" s="163" t="s">
        <v>90</v>
      </c>
      <c r="I3" s="163" t="s">
        <v>84</v>
      </c>
      <c r="J3" s="163" t="s">
        <v>85</v>
      </c>
      <c r="K3" s="163" t="s">
        <v>104</v>
      </c>
      <c r="L3" s="144" t="s">
        <v>105</v>
      </c>
      <c r="M3" s="163" t="s">
        <v>106</v>
      </c>
    </row>
    <row r="4" spans="2:13" ht="10.5" customHeight="1" x14ac:dyDescent="0.2">
      <c r="B4" s="164" t="s">
        <v>57</v>
      </c>
      <c r="C4" s="144" t="s">
        <v>58</v>
      </c>
      <c r="D4" s="20"/>
      <c r="E4" s="20"/>
      <c r="F4" s="20"/>
      <c r="G4" s="20"/>
      <c r="H4" s="20"/>
      <c r="I4" s="20"/>
      <c r="J4" s="20"/>
      <c r="K4" s="20"/>
      <c r="L4" s="20"/>
      <c r="M4" s="20"/>
    </row>
    <row r="5" spans="2:13" ht="10.5" customHeight="1" x14ac:dyDescent="0.2">
      <c r="B5" s="164" t="s">
        <v>59</v>
      </c>
      <c r="C5" s="144" t="s">
        <v>58</v>
      </c>
      <c r="D5" s="20"/>
      <c r="E5" s="20"/>
      <c r="F5" s="20"/>
      <c r="G5" s="20"/>
      <c r="H5" s="20"/>
      <c r="I5" s="20"/>
      <c r="J5" s="20"/>
      <c r="K5" s="20"/>
      <c r="L5" s="20"/>
      <c r="M5" s="20"/>
    </row>
    <row r="6" spans="2:13" ht="10.5" customHeight="1" x14ac:dyDescent="0.2">
      <c r="B6" s="164" t="s">
        <v>60</v>
      </c>
      <c r="C6" s="144"/>
      <c r="D6" s="20"/>
      <c r="E6" s="20"/>
      <c r="F6" s="20"/>
      <c r="G6" s="20"/>
      <c r="H6" s="20"/>
      <c r="I6" s="20"/>
      <c r="J6" s="20"/>
      <c r="K6" s="20"/>
      <c r="L6" s="20"/>
      <c r="M6" s="20"/>
    </row>
    <row r="7" spans="2:13" x14ac:dyDescent="0.2">
      <c r="B7" s="165" t="s">
        <v>246</v>
      </c>
      <c r="C7" s="20">
        <v>24</v>
      </c>
      <c r="D7" s="102">
        <v>0</v>
      </c>
      <c r="E7" s="20">
        <v>1</v>
      </c>
      <c r="F7" s="145">
        <f>C7*E7</f>
        <v>24</v>
      </c>
      <c r="G7" s="265">
        <v>0.66</v>
      </c>
      <c r="H7" s="145">
        <f>G7*F7</f>
        <v>15.84</v>
      </c>
      <c r="I7" s="145">
        <f>H7*0.1</f>
        <v>1.5840000000000001</v>
      </c>
      <c r="J7" s="145">
        <f>H7*0.05</f>
        <v>0.79200000000000004</v>
      </c>
      <c r="K7" s="145">
        <f>SUM(H7:J7)</f>
        <v>18.216000000000001</v>
      </c>
      <c r="L7" s="102">
        <f>ROUND(H7*Inputs!$G$82+I7*Inputs!$G$84+J7*Inputs!$G$83,0)</f>
        <v>1803</v>
      </c>
      <c r="M7" s="102">
        <f>D7*E7*G7</f>
        <v>0</v>
      </c>
    </row>
    <row r="8" spans="2:13" x14ac:dyDescent="0.2">
      <c r="B8" s="165" t="s">
        <v>61</v>
      </c>
      <c r="C8" s="20"/>
      <c r="D8" s="102"/>
      <c r="E8" s="20"/>
      <c r="F8" s="145"/>
      <c r="G8" s="145"/>
      <c r="H8" s="145"/>
      <c r="I8" s="145"/>
      <c r="J8" s="145"/>
      <c r="K8" s="145"/>
      <c r="L8" s="102"/>
      <c r="M8" s="102"/>
    </row>
    <row r="9" spans="2:13" x14ac:dyDescent="0.2">
      <c r="B9" s="168" t="s">
        <v>247</v>
      </c>
      <c r="C9" s="20"/>
      <c r="D9" s="102"/>
      <c r="E9" s="20"/>
      <c r="F9" s="145"/>
      <c r="G9" s="145"/>
      <c r="H9" s="145"/>
      <c r="I9" s="145"/>
      <c r="J9" s="145"/>
      <c r="K9" s="145"/>
      <c r="L9" s="102"/>
      <c r="M9" s="102"/>
    </row>
    <row r="10" spans="2:13" x14ac:dyDescent="0.2">
      <c r="B10" s="167" t="s">
        <v>93</v>
      </c>
      <c r="C10" s="20">
        <v>0</v>
      </c>
      <c r="D10" s="102">
        <f>Inputs!F21</f>
        <v>1560881</v>
      </c>
      <c r="E10" s="20">
        <v>1</v>
      </c>
      <c r="F10" s="145">
        <f>C10*E10</f>
        <v>0</v>
      </c>
      <c r="G10" s="145">
        <v>140</v>
      </c>
      <c r="H10" s="145">
        <f>G10*F10</f>
        <v>0</v>
      </c>
      <c r="I10" s="145">
        <f>H10*0.1</f>
        <v>0</v>
      </c>
      <c r="J10" s="145">
        <f>H10*0.05</f>
        <v>0</v>
      </c>
      <c r="K10" s="145">
        <f>SUM(H10:J10)</f>
        <v>0</v>
      </c>
      <c r="L10" s="102">
        <f>ROUND(H10*Inputs!$G$82+I10*Inputs!$G$84+J10*Inputs!$G$83,0)</f>
        <v>0</v>
      </c>
      <c r="M10" s="102">
        <f>D10*E10*G10</f>
        <v>218523340</v>
      </c>
    </row>
    <row r="11" spans="2:13" x14ac:dyDescent="0.2">
      <c r="B11" s="167" t="s">
        <v>94</v>
      </c>
      <c r="C11" s="20">
        <v>0</v>
      </c>
      <c r="D11" s="102">
        <f>Inputs!G21</f>
        <v>296308</v>
      </c>
      <c r="E11" s="20">
        <v>1</v>
      </c>
      <c r="F11" s="145">
        <f>C11*E11</f>
        <v>0</v>
      </c>
      <c r="G11" s="145">
        <v>140</v>
      </c>
      <c r="H11" s="145">
        <f>G11*F11</f>
        <v>0</v>
      </c>
      <c r="I11" s="145">
        <f>H11*0.1</f>
        <v>0</v>
      </c>
      <c r="J11" s="145">
        <f>H11*0.05</f>
        <v>0</v>
      </c>
      <c r="K11" s="145">
        <f>SUM(H11:J11)</f>
        <v>0</v>
      </c>
      <c r="L11" s="102">
        <f>ROUND(H11*Inputs!$G$82+I11*Inputs!$G$84+J11*Inputs!$G$83,0)</f>
        <v>0</v>
      </c>
      <c r="M11" s="102">
        <f>D11*E11*G11</f>
        <v>41483120</v>
      </c>
    </row>
    <row r="12" spans="2:13" x14ac:dyDescent="0.2">
      <c r="B12" s="168" t="s">
        <v>149</v>
      </c>
      <c r="C12" s="20"/>
      <c r="D12" s="102"/>
      <c r="E12" s="20"/>
      <c r="F12" s="145"/>
      <c r="G12" s="145"/>
      <c r="H12" s="145"/>
      <c r="I12" s="145"/>
      <c r="J12" s="145"/>
      <c r="K12" s="145"/>
      <c r="L12" s="102"/>
      <c r="M12" s="102"/>
    </row>
    <row r="13" spans="2:13" x14ac:dyDescent="0.2">
      <c r="B13" s="167" t="s">
        <v>93</v>
      </c>
      <c r="C13" s="20">
        <v>0</v>
      </c>
      <c r="D13" s="102">
        <f>Inputs!C31</f>
        <v>81353</v>
      </c>
      <c r="E13" s="20">
        <v>1</v>
      </c>
      <c r="F13" s="145">
        <f>C13*E13</f>
        <v>0</v>
      </c>
      <c r="G13" s="145">
        <v>140</v>
      </c>
      <c r="H13" s="145">
        <f>G13*F13</f>
        <v>0</v>
      </c>
      <c r="I13" s="145">
        <f>H13*0.1</f>
        <v>0</v>
      </c>
      <c r="J13" s="145">
        <f>H13*0.05</f>
        <v>0</v>
      </c>
      <c r="K13" s="145">
        <f>SUM(H13:J13)</f>
        <v>0</v>
      </c>
      <c r="L13" s="102">
        <f>ROUND(H13*Inputs!$G$82+I13*Inputs!$G$84+J13*Inputs!$G$83,0)</f>
        <v>0</v>
      </c>
      <c r="M13" s="102">
        <f>D13*E13*G13</f>
        <v>11389420</v>
      </c>
    </row>
    <row r="14" spans="2:13" x14ac:dyDescent="0.2">
      <c r="B14" s="167" t="s">
        <v>94</v>
      </c>
      <c r="C14" s="20">
        <v>0</v>
      </c>
      <c r="D14" s="102">
        <f>Inputs!D31</f>
        <v>36101</v>
      </c>
      <c r="E14" s="20">
        <v>1</v>
      </c>
      <c r="F14" s="145">
        <f>C14*E14</f>
        <v>0</v>
      </c>
      <c r="G14" s="145">
        <v>140</v>
      </c>
      <c r="H14" s="145">
        <f>G14*F14</f>
        <v>0</v>
      </c>
      <c r="I14" s="145">
        <f>H14*0.1</f>
        <v>0</v>
      </c>
      <c r="J14" s="145">
        <f>H14*0.05</f>
        <v>0</v>
      </c>
      <c r="K14" s="145">
        <f>SUM(H14:J14)</f>
        <v>0</v>
      </c>
      <c r="L14" s="102">
        <f>ROUND(H14*Inputs!$G$82+I14*Inputs!$G$84+J14*Inputs!$G$83,0)</f>
        <v>0</v>
      </c>
      <c r="M14" s="102">
        <f>D14*E14*G14</f>
        <v>5054140</v>
      </c>
    </row>
    <row r="15" spans="2:13" x14ac:dyDescent="0.2">
      <c r="B15" s="168" t="s">
        <v>150</v>
      </c>
      <c r="C15" s="20"/>
      <c r="D15" s="102"/>
      <c r="E15" s="20"/>
      <c r="F15" s="145"/>
      <c r="G15" s="145"/>
      <c r="H15" s="145"/>
      <c r="I15" s="145"/>
      <c r="J15" s="145"/>
      <c r="K15" s="145"/>
      <c r="L15" s="102"/>
      <c r="M15" s="102"/>
    </row>
    <row r="16" spans="2:13" x14ac:dyDescent="0.2">
      <c r="B16" s="167" t="s">
        <v>93</v>
      </c>
      <c r="C16" s="20">
        <v>0</v>
      </c>
      <c r="D16" s="102">
        <f>Inputs!C37</f>
        <v>3720</v>
      </c>
      <c r="E16" s="20">
        <v>1</v>
      </c>
      <c r="F16" s="145">
        <f>C16*E16</f>
        <v>0</v>
      </c>
      <c r="G16" s="145">
        <v>140</v>
      </c>
      <c r="H16" s="145">
        <f>G16*F16</f>
        <v>0</v>
      </c>
      <c r="I16" s="145">
        <f>H16*0.1</f>
        <v>0</v>
      </c>
      <c r="J16" s="145">
        <f>H16*0.05</f>
        <v>0</v>
      </c>
      <c r="K16" s="145">
        <f>SUM(H16:J16)</f>
        <v>0</v>
      </c>
      <c r="L16" s="102">
        <f>ROUND(H16*Inputs!$G$82+I16*Inputs!$G$84+J16*Inputs!$G$83,0)</f>
        <v>0</v>
      </c>
      <c r="M16" s="102">
        <f>D16*E16*G16</f>
        <v>520800</v>
      </c>
    </row>
    <row r="17" spans="2:13" x14ac:dyDescent="0.2">
      <c r="B17" s="167" t="s">
        <v>94</v>
      </c>
      <c r="C17" s="20">
        <v>0</v>
      </c>
      <c r="D17" s="102">
        <f>Inputs!D37</f>
        <v>1102</v>
      </c>
      <c r="E17" s="20">
        <v>1</v>
      </c>
      <c r="F17" s="145">
        <f>C17*E17</f>
        <v>0</v>
      </c>
      <c r="G17" s="145">
        <v>140</v>
      </c>
      <c r="H17" s="145">
        <f>G17*F17</f>
        <v>0</v>
      </c>
      <c r="I17" s="145">
        <f>H17*0.1</f>
        <v>0</v>
      </c>
      <c r="J17" s="145">
        <f>H17*0.05</f>
        <v>0</v>
      </c>
      <c r="K17" s="145">
        <f>SUM(H17:J17)</f>
        <v>0</v>
      </c>
      <c r="L17" s="102">
        <f>ROUND(H17*Inputs!$G$82+I17*Inputs!$G$84+J17*Inputs!$G$83,0)</f>
        <v>0</v>
      </c>
      <c r="M17" s="102">
        <f>D17*E17*G17</f>
        <v>154280</v>
      </c>
    </row>
    <row r="18" spans="2:13" ht="22.5" x14ac:dyDescent="0.2">
      <c r="B18" s="166" t="s">
        <v>248</v>
      </c>
      <c r="C18" s="20"/>
      <c r="D18" s="102"/>
      <c r="E18" s="20"/>
      <c r="F18" s="145"/>
      <c r="G18" s="145"/>
      <c r="H18" s="145"/>
      <c r="I18" s="145"/>
      <c r="J18" s="145"/>
      <c r="K18" s="145"/>
      <c r="L18" s="102"/>
      <c r="M18" s="102"/>
    </row>
    <row r="19" spans="2:13" x14ac:dyDescent="0.2">
      <c r="B19" s="167" t="s">
        <v>93</v>
      </c>
      <c r="C19" s="20">
        <v>0</v>
      </c>
      <c r="D19" s="102">
        <f>Inputs!C43</f>
        <v>16250</v>
      </c>
      <c r="E19" s="20">
        <v>1</v>
      </c>
      <c r="F19" s="145">
        <f>C19*E19</f>
        <v>0</v>
      </c>
      <c r="G19" s="145">
        <v>2</v>
      </c>
      <c r="H19" s="145">
        <f>G19*F19</f>
        <v>0</v>
      </c>
      <c r="I19" s="145">
        <f>H19*0.1</f>
        <v>0</v>
      </c>
      <c r="J19" s="145">
        <f>H19*0.05</f>
        <v>0</v>
      </c>
      <c r="K19" s="145">
        <f>SUM(H19:J19)</f>
        <v>0</v>
      </c>
      <c r="L19" s="102">
        <f>ROUND(H19*Inputs!$G$82+I19*Inputs!$G$84+J19*Inputs!$G$83,0)</f>
        <v>0</v>
      </c>
      <c r="M19" s="102">
        <f>D19*E19*G19</f>
        <v>32500</v>
      </c>
    </row>
    <row r="20" spans="2:13" x14ac:dyDescent="0.2">
      <c r="B20" s="167" t="s">
        <v>94</v>
      </c>
      <c r="C20" s="20">
        <v>0</v>
      </c>
      <c r="D20" s="102">
        <f>Inputs!D43</f>
        <v>1750</v>
      </c>
      <c r="E20" s="20">
        <v>1</v>
      </c>
      <c r="F20" s="145">
        <f>C20*E20</f>
        <v>0</v>
      </c>
      <c r="G20" s="145">
        <v>2</v>
      </c>
      <c r="H20" s="145">
        <f>G20*F20</f>
        <v>0</v>
      </c>
      <c r="I20" s="145">
        <f>H20*0.1</f>
        <v>0</v>
      </c>
      <c r="J20" s="145">
        <f>H20*0.05</f>
        <v>0</v>
      </c>
      <c r="K20" s="145">
        <f>SUM(H20:J20)</f>
        <v>0</v>
      </c>
      <c r="L20" s="102">
        <f>ROUND(H20*Inputs!$G$82+I20*Inputs!$G$84+J20*Inputs!$G$83,0)</f>
        <v>0</v>
      </c>
      <c r="M20" s="102">
        <f>D20*E20*G20</f>
        <v>3500</v>
      </c>
    </row>
    <row r="21" spans="2:13" x14ac:dyDescent="0.2">
      <c r="B21" s="166" t="s">
        <v>201</v>
      </c>
      <c r="C21" s="20"/>
      <c r="D21" s="102"/>
      <c r="E21" s="20"/>
      <c r="F21" s="145"/>
      <c r="G21" s="145"/>
      <c r="H21" s="145"/>
      <c r="I21" s="145"/>
      <c r="J21" s="145"/>
      <c r="K21" s="145"/>
      <c r="L21" s="102"/>
      <c r="M21" s="102"/>
    </row>
    <row r="22" spans="2:13" x14ac:dyDescent="0.2">
      <c r="B22" s="167" t="s">
        <v>93</v>
      </c>
      <c r="C22" s="20">
        <v>0</v>
      </c>
      <c r="D22" s="102">
        <f>Inputs!C49</f>
        <v>372</v>
      </c>
      <c r="E22" s="20">
        <v>1</v>
      </c>
      <c r="F22" s="145">
        <f>C22*E22</f>
        <v>0</v>
      </c>
      <c r="G22" s="145">
        <v>140</v>
      </c>
      <c r="H22" s="145">
        <f>G22*F22</f>
        <v>0</v>
      </c>
      <c r="I22" s="145">
        <f>H22*0.1</f>
        <v>0</v>
      </c>
      <c r="J22" s="145">
        <f>H22*0.05</f>
        <v>0</v>
      </c>
      <c r="K22" s="145">
        <f>SUM(H22:J22)</f>
        <v>0</v>
      </c>
      <c r="L22" s="102">
        <f>ROUND(H22*Inputs!$G$82+I22*Inputs!$G$84+J22*Inputs!$G$83,0)</f>
        <v>0</v>
      </c>
      <c r="M22" s="102">
        <f>D22*E22*G22</f>
        <v>52080</v>
      </c>
    </row>
    <row r="23" spans="2:13" x14ac:dyDescent="0.2">
      <c r="B23" s="167" t="s">
        <v>94</v>
      </c>
      <c r="C23" s="20">
        <v>0</v>
      </c>
      <c r="D23" s="102">
        <f>Inputs!D49</f>
        <v>349</v>
      </c>
      <c r="E23" s="20">
        <v>1</v>
      </c>
      <c r="F23" s="145">
        <f>C23*E23</f>
        <v>0</v>
      </c>
      <c r="G23" s="145">
        <v>140</v>
      </c>
      <c r="H23" s="145">
        <f>G23*F23</f>
        <v>0</v>
      </c>
      <c r="I23" s="145">
        <f>H23*0.1</f>
        <v>0</v>
      </c>
      <c r="J23" s="145">
        <f>H23*0.05</f>
        <v>0</v>
      </c>
      <c r="K23" s="145">
        <f>SUM(H23:J23)</f>
        <v>0</v>
      </c>
      <c r="L23" s="102">
        <f>ROUND(H23*Inputs!$G$82+I23*Inputs!$G$84+J23*Inputs!$G$83,0)</f>
        <v>0</v>
      </c>
      <c r="M23" s="102">
        <f>D23*E23*G23</f>
        <v>48860</v>
      </c>
    </row>
    <row r="24" spans="2:13" ht="22.5" x14ac:dyDescent="0.2">
      <c r="B24" s="166" t="s">
        <v>202</v>
      </c>
      <c r="C24" s="20"/>
      <c r="D24" s="102"/>
      <c r="E24" s="20"/>
      <c r="F24" s="145"/>
      <c r="G24" s="145"/>
      <c r="H24" s="145"/>
      <c r="I24" s="145"/>
      <c r="J24" s="145"/>
      <c r="K24" s="145"/>
      <c r="L24" s="102"/>
      <c r="M24" s="102"/>
    </row>
    <row r="25" spans="2:13" x14ac:dyDescent="0.2">
      <c r="B25" s="167" t="s">
        <v>93</v>
      </c>
      <c r="C25" s="20">
        <v>0</v>
      </c>
      <c r="D25" s="102">
        <f>Inputs!C55</f>
        <v>12619</v>
      </c>
      <c r="E25" s="20">
        <v>1</v>
      </c>
      <c r="F25" s="145">
        <f>C25*E25</f>
        <v>0</v>
      </c>
      <c r="G25" s="145">
        <v>140</v>
      </c>
      <c r="H25" s="145">
        <f>G25*F25</f>
        <v>0</v>
      </c>
      <c r="I25" s="145">
        <f>H25*0.1</f>
        <v>0</v>
      </c>
      <c r="J25" s="145">
        <f>H25*0.05</f>
        <v>0</v>
      </c>
      <c r="K25" s="145">
        <f>SUM(H25:J25)</f>
        <v>0</v>
      </c>
      <c r="L25" s="102">
        <f>ROUND(H25*Inputs!$G$82+I25*Inputs!$G$84+J25*Inputs!$G$83,0)</f>
        <v>0</v>
      </c>
      <c r="M25" s="102">
        <f>D25*E25*G25</f>
        <v>1766660</v>
      </c>
    </row>
    <row r="26" spans="2:13" x14ac:dyDescent="0.2">
      <c r="B26" s="167" t="s">
        <v>94</v>
      </c>
      <c r="C26" s="20">
        <v>0</v>
      </c>
      <c r="D26" s="102">
        <f>Inputs!D55</f>
        <v>2184</v>
      </c>
      <c r="E26" s="20">
        <v>1</v>
      </c>
      <c r="F26" s="145">
        <f>C26*E26</f>
        <v>0</v>
      </c>
      <c r="G26" s="145">
        <v>140</v>
      </c>
      <c r="H26" s="145">
        <f>G26*F26</f>
        <v>0</v>
      </c>
      <c r="I26" s="145">
        <f>H26*0.1</f>
        <v>0</v>
      </c>
      <c r="J26" s="145">
        <f>H26*0.05</f>
        <v>0</v>
      </c>
      <c r="K26" s="145">
        <f>SUM(H26:J26)</f>
        <v>0</v>
      </c>
      <c r="L26" s="102">
        <f>ROUND(H26*Inputs!$G$82+I26*Inputs!$G$84+J26*Inputs!$G$83,0)</f>
        <v>0</v>
      </c>
      <c r="M26" s="102">
        <f>D26*E26*G26</f>
        <v>305760</v>
      </c>
    </row>
    <row r="27" spans="2:13" ht="22.5" x14ac:dyDescent="0.2">
      <c r="B27" s="166" t="s">
        <v>249</v>
      </c>
      <c r="C27" s="20"/>
      <c r="D27" s="102"/>
      <c r="E27" s="20"/>
      <c r="F27" s="145"/>
      <c r="G27" s="145"/>
      <c r="H27" s="145"/>
      <c r="I27" s="145"/>
      <c r="J27" s="145"/>
      <c r="K27" s="145"/>
      <c r="L27" s="102"/>
      <c r="M27" s="102"/>
    </row>
    <row r="28" spans="2:13" x14ac:dyDescent="0.2">
      <c r="B28" s="167" t="s">
        <v>93</v>
      </c>
      <c r="C28" s="20">
        <v>0</v>
      </c>
      <c r="D28" s="102">
        <f>Inputs!C61</f>
        <v>560000</v>
      </c>
      <c r="E28" s="20">
        <v>1</v>
      </c>
      <c r="F28" s="145">
        <f>C28*E28</f>
        <v>0</v>
      </c>
      <c r="G28" s="145">
        <v>21</v>
      </c>
      <c r="H28" s="145">
        <f>G28*F28</f>
        <v>0</v>
      </c>
      <c r="I28" s="145">
        <f>H28*0.1</f>
        <v>0</v>
      </c>
      <c r="J28" s="145">
        <f>H28*0.05</f>
        <v>0</v>
      </c>
      <c r="K28" s="145">
        <f>SUM(H28:J28)</f>
        <v>0</v>
      </c>
      <c r="L28" s="102">
        <f>ROUND(H28*Inputs!$G$82+I28*Inputs!$G$84+J28*Inputs!$G$83,0)</f>
        <v>0</v>
      </c>
      <c r="M28" s="102">
        <f>D28*E28*G28</f>
        <v>11760000</v>
      </c>
    </row>
    <row r="29" spans="2:13" x14ac:dyDescent="0.2">
      <c r="B29" s="167" t="s">
        <v>94</v>
      </c>
      <c r="C29" s="20">
        <v>0</v>
      </c>
      <c r="D29" s="102">
        <f>Inputs!D61</f>
        <v>325000</v>
      </c>
      <c r="E29" s="20">
        <v>1</v>
      </c>
      <c r="F29" s="145">
        <f>C29*E29</f>
        <v>0</v>
      </c>
      <c r="G29" s="145">
        <v>21</v>
      </c>
      <c r="H29" s="145">
        <f>G29*F29</f>
        <v>0</v>
      </c>
      <c r="I29" s="145">
        <f>H29*0.1</f>
        <v>0</v>
      </c>
      <c r="J29" s="145">
        <f>H29*0.05</f>
        <v>0</v>
      </c>
      <c r="K29" s="145">
        <f>SUM(H29:J29)</f>
        <v>0</v>
      </c>
      <c r="L29" s="102">
        <f>ROUND(H29*Inputs!$G$82+I29*Inputs!$G$84+J29*Inputs!$G$83,0)</f>
        <v>0</v>
      </c>
      <c r="M29" s="102">
        <f>D29*E29*G29</f>
        <v>6825000</v>
      </c>
    </row>
    <row r="30" spans="2:13" x14ac:dyDescent="0.2">
      <c r="B30" s="166" t="s">
        <v>250</v>
      </c>
      <c r="C30" s="20"/>
      <c r="D30" s="102"/>
      <c r="E30" s="20"/>
      <c r="F30" s="145"/>
      <c r="G30" s="145"/>
      <c r="H30" s="145"/>
      <c r="I30" s="145"/>
      <c r="J30" s="145"/>
      <c r="K30" s="145"/>
      <c r="L30" s="102"/>
      <c r="M30" s="102"/>
    </row>
    <row r="31" spans="2:13" x14ac:dyDescent="0.2">
      <c r="B31" s="167" t="s">
        <v>93</v>
      </c>
      <c r="C31" s="20">
        <v>0</v>
      </c>
      <c r="D31" s="102">
        <f>Inputs!C67</f>
        <v>77409</v>
      </c>
      <c r="E31" s="20">
        <v>1</v>
      </c>
      <c r="F31" s="145">
        <f>C31*E31</f>
        <v>0</v>
      </c>
      <c r="G31" s="145">
        <v>126</v>
      </c>
      <c r="H31" s="145">
        <f>G31*F31</f>
        <v>0</v>
      </c>
      <c r="I31" s="145">
        <f>H31*0.1</f>
        <v>0</v>
      </c>
      <c r="J31" s="145">
        <f>H31*0.05</f>
        <v>0</v>
      </c>
      <c r="K31" s="145">
        <f>SUM(H31:J31)</f>
        <v>0</v>
      </c>
      <c r="L31" s="102">
        <f>ROUND(H31*Inputs!$G$82+I31*Inputs!$G$84+J31*Inputs!$G$83,0)</f>
        <v>0</v>
      </c>
      <c r="M31" s="102">
        <f>D31*E31*G31</f>
        <v>9753534</v>
      </c>
    </row>
    <row r="32" spans="2:13" x14ac:dyDescent="0.2">
      <c r="B32" s="167" t="s">
        <v>94</v>
      </c>
      <c r="C32" s="20">
        <v>0</v>
      </c>
      <c r="D32" s="102">
        <f>Inputs!D67</f>
        <v>254405</v>
      </c>
      <c r="E32" s="20">
        <v>1</v>
      </c>
      <c r="F32" s="145">
        <f>C32*E32</f>
        <v>0</v>
      </c>
      <c r="G32" s="145">
        <v>126</v>
      </c>
      <c r="H32" s="145">
        <f>G32*F32</f>
        <v>0</v>
      </c>
      <c r="I32" s="145">
        <f>H32*0.1</f>
        <v>0</v>
      </c>
      <c r="J32" s="145">
        <f>H32*0.05</f>
        <v>0</v>
      </c>
      <c r="K32" s="145">
        <f>SUM(H32:J32)</f>
        <v>0</v>
      </c>
      <c r="L32" s="102">
        <f>ROUND(H32*Inputs!$G$82+I32*Inputs!$G$84+J32*Inputs!$G$83,0)</f>
        <v>0</v>
      </c>
      <c r="M32" s="102">
        <f>D32*E32*G32</f>
        <v>32055030</v>
      </c>
    </row>
    <row r="33" spans="2:15" ht="22.5" x14ac:dyDescent="0.2">
      <c r="B33" s="166" t="s">
        <v>203</v>
      </c>
      <c r="C33" s="20"/>
      <c r="D33" s="102"/>
      <c r="E33" s="20"/>
      <c r="F33" s="145"/>
      <c r="G33" s="145"/>
      <c r="H33" s="145"/>
      <c r="I33" s="145"/>
      <c r="J33" s="145"/>
      <c r="K33" s="145"/>
      <c r="L33" s="102"/>
      <c r="M33" s="102"/>
    </row>
    <row r="34" spans="2:15" x14ac:dyDescent="0.2">
      <c r="B34" s="167" t="s">
        <v>93</v>
      </c>
      <c r="C34" s="20">
        <v>0</v>
      </c>
      <c r="D34" s="102">
        <f>Inputs!C74</f>
        <v>39277</v>
      </c>
      <c r="E34" s="20">
        <v>1</v>
      </c>
      <c r="F34" s="145">
        <f>C34*E34</f>
        <v>0</v>
      </c>
      <c r="G34" s="145">
        <v>140</v>
      </c>
      <c r="H34" s="145">
        <f>G34*F34</f>
        <v>0</v>
      </c>
      <c r="I34" s="145">
        <f>H34*0.1</f>
        <v>0</v>
      </c>
      <c r="J34" s="145">
        <f>H34*0.05</f>
        <v>0</v>
      </c>
      <c r="K34" s="145">
        <f>SUM(H34:J34)</f>
        <v>0</v>
      </c>
      <c r="L34" s="102">
        <f>ROUND(H34*Inputs!$G$82+I34*Inputs!$G$84+J34*Inputs!$G$83,0)</f>
        <v>0</v>
      </c>
      <c r="M34" s="102">
        <f>D34*E34*G34</f>
        <v>5498780</v>
      </c>
    </row>
    <row r="35" spans="2:15" x14ac:dyDescent="0.2">
      <c r="B35" s="167" t="s">
        <v>94</v>
      </c>
      <c r="C35" s="20">
        <v>0</v>
      </c>
      <c r="D35" s="102">
        <f>Inputs!D74</f>
        <v>98884</v>
      </c>
      <c r="E35" s="20">
        <v>1</v>
      </c>
      <c r="F35" s="145">
        <f>C35*E35</f>
        <v>0</v>
      </c>
      <c r="G35" s="145">
        <v>140</v>
      </c>
      <c r="H35" s="145">
        <f>G35*F35</f>
        <v>0</v>
      </c>
      <c r="I35" s="145">
        <f>H35*0.1</f>
        <v>0</v>
      </c>
      <c r="J35" s="145">
        <f>H35*0.05</f>
        <v>0</v>
      </c>
      <c r="K35" s="145">
        <f>SUM(H35:J35)</f>
        <v>0</v>
      </c>
      <c r="L35" s="102">
        <f>ROUND(H35*Inputs!$G$82+I35*Inputs!$G$84+J35*Inputs!$G$83,0)</f>
        <v>0</v>
      </c>
      <c r="M35" s="102">
        <f>D35*E35*G35</f>
        <v>13843760</v>
      </c>
    </row>
    <row r="36" spans="2:15" ht="22.9" customHeight="1" x14ac:dyDescent="0.2">
      <c r="B36" s="166" t="s">
        <v>251</v>
      </c>
      <c r="C36" s="20"/>
      <c r="D36" s="102"/>
      <c r="E36" s="20"/>
      <c r="F36" s="145"/>
      <c r="G36" s="145"/>
      <c r="H36" s="145"/>
      <c r="I36" s="145"/>
      <c r="J36" s="145"/>
      <c r="K36" s="145"/>
      <c r="L36" s="102"/>
      <c r="M36" s="102"/>
    </row>
    <row r="37" spans="2:15" x14ac:dyDescent="0.2">
      <c r="B37" s="167" t="s">
        <v>93</v>
      </c>
      <c r="C37" s="20">
        <v>0</v>
      </c>
      <c r="D37" s="102">
        <f>Inputs!J13</f>
        <v>1457857.142857143</v>
      </c>
      <c r="E37" s="20">
        <v>1</v>
      </c>
      <c r="F37" s="145">
        <f>C37*E37</f>
        <v>0</v>
      </c>
      <c r="G37" s="145">
        <v>7</v>
      </c>
      <c r="H37" s="145">
        <f>G37*F37</f>
        <v>0</v>
      </c>
      <c r="I37" s="145">
        <f>H37*0.1</f>
        <v>0</v>
      </c>
      <c r="J37" s="145">
        <f>H37*0.05</f>
        <v>0</v>
      </c>
      <c r="K37" s="145">
        <f>SUM(H37:J37)</f>
        <v>0</v>
      </c>
      <c r="L37" s="102">
        <f>ROUND(H37*Inputs!$G$82+I37*Inputs!$G$84+J37*Inputs!$G$83,0)</f>
        <v>0</v>
      </c>
      <c r="M37" s="102">
        <f>D37*E37*G37</f>
        <v>10205000</v>
      </c>
    </row>
    <row r="38" spans="2:15" x14ac:dyDescent="0.2">
      <c r="B38" s="167" t="s">
        <v>94</v>
      </c>
      <c r="C38" s="20">
        <v>0</v>
      </c>
      <c r="D38" s="102">
        <f>Inputs!K13</f>
        <v>753714.28571428568</v>
      </c>
      <c r="E38" s="20">
        <v>1</v>
      </c>
      <c r="F38" s="145">
        <f>C38*E38</f>
        <v>0</v>
      </c>
      <c r="G38" s="145">
        <v>7</v>
      </c>
      <c r="H38" s="145">
        <f>G38*F38</f>
        <v>0</v>
      </c>
      <c r="I38" s="145">
        <f>H38*0.1</f>
        <v>0</v>
      </c>
      <c r="J38" s="145">
        <f>H38*0.05</f>
        <v>0</v>
      </c>
      <c r="K38" s="145">
        <f>SUM(H38:J38)</f>
        <v>0</v>
      </c>
      <c r="L38" s="102">
        <f>ROUND(H38*Inputs!$G$82+I38*Inputs!$G$84+J38*Inputs!$G$83,0)</f>
        <v>0</v>
      </c>
      <c r="M38" s="102">
        <f>D38*E38*G38</f>
        <v>5276000</v>
      </c>
    </row>
    <row r="39" spans="2:15" ht="30.6" customHeight="1" x14ac:dyDescent="0.2">
      <c r="B39" s="166" t="s">
        <v>252</v>
      </c>
      <c r="C39" s="20"/>
      <c r="D39" s="102"/>
      <c r="E39" s="20"/>
      <c r="F39" s="145"/>
      <c r="G39" s="145"/>
      <c r="H39" s="145"/>
      <c r="I39" s="145"/>
      <c r="J39" s="145"/>
      <c r="K39" s="145"/>
      <c r="L39" s="102"/>
      <c r="M39" s="102"/>
    </row>
    <row r="40" spans="2:15" x14ac:dyDescent="0.2">
      <c r="B40" s="167" t="s">
        <v>93</v>
      </c>
      <c r="C40" s="20">
        <v>0</v>
      </c>
      <c r="D40" s="102">
        <f>Inputs!N11</f>
        <v>23200</v>
      </c>
      <c r="E40" s="20">
        <v>1</v>
      </c>
      <c r="F40" s="145">
        <f>C40*E40</f>
        <v>0</v>
      </c>
      <c r="G40" s="145">
        <v>7</v>
      </c>
      <c r="H40" s="145">
        <f>G40*F40</f>
        <v>0</v>
      </c>
      <c r="I40" s="145">
        <f>H40*0.1</f>
        <v>0</v>
      </c>
      <c r="J40" s="145">
        <f>H40*0.05</f>
        <v>0</v>
      </c>
      <c r="K40" s="145">
        <f>SUM(H40:J40)</f>
        <v>0</v>
      </c>
      <c r="L40" s="102">
        <f>ROUND(H40*Inputs!$G$82+I40*Inputs!$G$84+J40*Inputs!$G$83,0)</f>
        <v>0</v>
      </c>
      <c r="M40" s="102">
        <f>D40*E40*G40</f>
        <v>162400</v>
      </c>
      <c r="O40" s="216"/>
    </row>
    <row r="41" spans="2:15" x14ac:dyDescent="0.2">
      <c r="B41" s="167" t="s">
        <v>94</v>
      </c>
      <c r="C41" s="20">
        <v>0</v>
      </c>
      <c r="D41" s="102">
        <f>Inputs!N12</f>
        <v>4900</v>
      </c>
      <c r="E41" s="20">
        <v>1</v>
      </c>
      <c r="F41" s="145">
        <f>C41*E41</f>
        <v>0</v>
      </c>
      <c r="G41" s="145">
        <v>7</v>
      </c>
      <c r="H41" s="145">
        <f>G41*F41</f>
        <v>0</v>
      </c>
      <c r="I41" s="145">
        <f>H41*0.1</f>
        <v>0</v>
      </c>
      <c r="J41" s="145">
        <f>H41*0.05</f>
        <v>0</v>
      </c>
      <c r="K41" s="145">
        <f>SUM(H41:J41)</f>
        <v>0</v>
      </c>
      <c r="L41" s="102">
        <f>ROUND(H41*Inputs!$G$82+I41*Inputs!$G$84+J41*Inputs!$G$83,0)</f>
        <v>0</v>
      </c>
      <c r="M41" s="102">
        <f>D41*E41*G41</f>
        <v>34300</v>
      </c>
    </row>
    <row r="42" spans="2:15" ht="31.9" customHeight="1" x14ac:dyDescent="0.2">
      <c r="B42" s="166" t="s">
        <v>253</v>
      </c>
      <c r="C42" s="20"/>
      <c r="D42" s="102"/>
      <c r="E42" s="20"/>
      <c r="F42" s="145"/>
      <c r="G42" s="145"/>
      <c r="H42" s="145"/>
      <c r="I42" s="145"/>
      <c r="J42" s="145"/>
      <c r="K42" s="145"/>
      <c r="L42" s="102"/>
      <c r="M42" s="102"/>
    </row>
    <row r="43" spans="2:15" x14ac:dyDescent="0.2">
      <c r="B43" s="167" t="s">
        <v>153</v>
      </c>
      <c r="C43" s="20">
        <v>0</v>
      </c>
      <c r="D43" s="102">
        <f>Inputs!N13</f>
        <v>38302</v>
      </c>
      <c r="E43" s="20">
        <v>1</v>
      </c>
      <c r="F43" s="145">
        <f>C43*E43</f>
        <v>0</v>
      </c>
      <c r="G43" s="145">
        <v>7</v>
      </c>
      <c r="H43" s="145">
        <f>G43*F43</f>
        <v>0</v>
      </c>
      <c r="I43" s="145">
        <f>H43*0.1</f>
        <v>0</v>
      </c>
      <c r="J43" s="145">
        <f>H43*0.05</f>
        <v>0</v>
      </c>
      <c r="K43" s="145">
        <f>SUM(H43:J43)</f>
        <v>0</v>
      </c>
      <c r="L43" s="102">
        <f>ROUND(H43*Inputs!$G$82+I43*Inputs!$G$84+J43*Inputs!$G$83,0)</f>
        <v>0</v>
      </c>
      <c r="M43" s="102">
        <f>D43*E43*G43</f>
        <v>268114</v>
      </c>
    </row>
    <row r="44" spans="2:15" x14ac:dyDescent="0.2">
      <c r="B44" s="167" t="s">
        <v>254</v>
      </c>
      <c r="C44" s="20">
        <v>0</v>
      </c>
      <c r="D44" s="102">
        <f>Inputs!J14</f>
        <v>0</v>
      </c>
      <c r="E44" s="20">
        <v>1</v>
      </c>
      <c r="F44" s="145">
        <f>C44*E44</f>
        <v>0</v>
      </c>
      <c r="G44" s="145">
        <v>0</v>
      </c>
      <c r="H44" s="145">
        <f>G44*F44</f>
        <v>0</v>
      </c>
      <c r="I44" s="145">
        <f>H44*0.1</f>
        <v>0</v>
      </c>
      <c r="J44" s="145">
        <f>H44*0.05</f>
        <v>0</v>
      </c>
      <c r="K44" s="145">
        <f>SUM(H44:J44)</f>
        <v>0</v>
      </c>
      <c r="L44" s="102">
        <f>ROUND(H44*Inputs!$G$82+I44*Inputs!$G$84+J44*Inputs!$G$83,0)</f>
        <v>0</v>
      </c>
      <c r="M44" s="102">
        <f>D44*E44*G44</f>
        <v>0</v>
      </c>
    </row>
    <row r="45" spans="2:15" ht="22.5" x14ac:dyDescent="0.2">
      <c r="B45" s="166" t="s">
        <v>255</v>
      </c>
      <c r="C45" s="20"/>
      <c r="D45" s="102"/>
      <c r="E45" s="20"/>
      <c r="F45" s="145"/>
      <c r="G45" s="145"/>
      <c r="H45" s="145"/>
      <c r="I45" s="145"/>
      <c r="J45" s="145"/>
      <c r="K45" s="145"/>
      <c r="L45" s="102"/>
      <c r="M45" s="102"/>
    </row>
    <row r="46" spans="2:15" x14ac:dyDescent="0.2">
      <c r="B46" s="167" t="s">
        <v>93</v>
      </c>
      <c r="C46" s="20">
        <v>0</v>
      </c>
      <c r="D46" s="102">
        <f>Inputs!J20</f>
        <v>14416.666666666666</v>
      </c>
      <c r="E46" s="20">
        <v>1</v>
      </c>
      <c r="F46" s="145">
        <f>C46*E46</f>
        <v>0</v>
      </c>
      <c r="G46" s="145">
        <v>3</v>
      </c>
      <c r="H46" s="145">
        <f>G46*F46</f>
        <v>0</v>
      </c>
      <c r="I46" s="145">
        <f>H46*0.1</f>
        <v>0</v>
      </c>
      <c r="J46" s="145">
        <f>H46*0.05</f>
        <v>0</v>
      </c>
      <c r="K46" s="145">
        <f>SUM(H46:J46)</f>
        <v>0</v>
      </c>
      <c r="L46" s="102">
        <f>ROUND(H46*Inputs!$G$82+I46*Inputs!$G$84+J46*Inputs!$G$83,0)</f>
        <v>0</v>
      </c>
      <c r="M46" s="102">
        <f>D46*E46*G46</f>
        <v>43250</v>
      </c>
    </row>
    <row r="47" spans="2:15" x14ac:dyDescent="0.2">
      <c r="B47" s="167" t="s">
        <v>94</v>
      </c>
      <c r="C47" s="20">
        <v>0</v>
      </c>
      <c r="D47" s="102">
        <f>Inputs!K20</f>
        <v>62930.666666666664</v>
      </c>
      <c r="E47" s="20">
        <v>1</v>
      </c>
      <c r="F47" s="145">
        <f>C47*E47</f>
        <v>0</v>
      </c>
      <c r="G47" s="145">
        <v>3</v>
      </c>
      <c r="H47" s="145">
        <f>G47*F47</f>
        <v>0</v>
      </c>
      <c r="I47" s="145">
        <f>H47*0.1</f>
        <v>0</v>
      </c>
      <c r="J47" s="145">
        <f>H47*0.05</f>
        <v>0</v>
      </c>
      <c r="K47" s="145">
        <f>SUM(H47:J47)</f>
        <v>0</v>
      </c>
      <c r="L47" s="102">
        <f>ROUND(H47*Inputs!$G$82+I47*Inputs!$G$84+J47*Inputs!$G$83,0)</f>
        <v>0</v>
      </c>
      <c r="M47" s="102">
        <f>D47*E47*G47</f>
        <v>188792</v>
      </c>
    </row>
    <row r="48" spans="2:15" ht="22.5" x14ac:dyDescent="0.2">
      <c r="B48" s="166" t="s">
        <v>256</v>
      </c>
      <c r="C48" s="20"/>
      <c r="D48" s="102"/>
      <c r="E48" s="20"/>
      <c r="F48" s="145"/>
      <c r="G48" s="145"/>
      <c r="H48" s="145"/>
      <c r="I48" s="145"/>
      <c r="J48" s="145"/>
      <c r="K48" s="145"/>
      <c r="L48" s="102"/>
      <c r="M48" s="102"/>
    </row>
    <row r="49" spans="2:13" x14ac:dyDescent="0.2">
      <c r="B49" s="167" t="s">
        <v>93</v>
      </c>
      <c r="C49" s="20">
        <v>0</v>
      </c>
      <c r="D49" s="102">
        <f>Inputs!J27</f>
        <v>10434.823529411764</v>
      </c>
      <c r="E49" s="20">
        <v>1</v>
      </c>
      <c r="F49" s="145">
        <f>C49*E49</f>
        <v>0</v>
      </c>
      <c r="G49" s="145">
        <v>17</v>
      </c>
      <c r="H49" s="145">
        <f>G49*F49</f>
        <v>0</v>
      </c>
      <c r="I49" s="145">
        <f>H49*0.1</f>
        <v>0</v>
      </c>
      <c r="J49" s="145">
        <f>H49*0.05</f>
        <v>0</v>
      </c>
      <c r="K49" s="145">
        <f>SUM(H49:J49)</f>
        <v>0</v>
      </c>
      <c r="L49" s="102">
        <f>ROUND(H49*Inputs!$G$82+I49*Inputs!$G$84+J49*Inputs!$G$83,0)</f>
        <v>0</v>
      </c>
      <c r="M49" s="102">
        <f>D49*E49*G49</f>
        <v>177392</v>
      </c>
    </row>
    <row r="50" spans="2:13" x14ac:dyDescent="0.2">
      <c r="B50" s="167" t="s">
        <v>94</v>
      </c>
      <c r="C50" s="20">
        <v>0</v>
      </c>
      <c r="D50" s="102">
        <f>Inputs!K27</f>
        <v>207824.76470588235</v>
      </c>
      <c r="E50" s="20">
        <v>1</v>
      </c>
      <c r="F50" s="145">
        <f>C50*E50</f>
        <v>0</v>
      </c>
      <c r="G50" s="145">
        <v>17</v>
      </c>
      <c r="H50" s="145">
        <f>G50*F50</f>
        <v>0</v>
      </c>
      <c r="I50" s="145">
        <f>H50*0.1</f>
        <v>0</v>
      </c>
      <c r="J50" s="145">
        <f>H50*0.05</f>
        <v>0</v>
      </c>
      <c r="K50" s="145">
        <f>SUM(H50:J50)</f>
        <v>0</v>
      </c>
      <c r="L50" s="102">
        <f>ROUND(H50*Inputs!$G$82+I50*Inputs!$G$84+J50*Inputs!$G$83,0)</f>
        <v>0</v>
      </c>
      <c r="M50" s="102">
        <f>D50*E50*G50</f>
        <v>3533021</v>
      </c>
    </row>
    <row r="51" spans="2:13" x14ac:dyDescent="0.2">
      <c r="B51" s="165" t="s">
        <v>62</v>
      </c>
      <c r="C51" s="20" t="s">
        <v>64</v>
      </c>
      <c r="D51" s="102"/>
      <c r="E51" s="20"/>
      <c r="F51" s="145"/>
      <c r="G51" s="145"/>
      <c r="H51" s="145"/>
      <c r="I51" s="145"/>
      <c r="J51" s="145"/>
      <c r="K51" s="145"/>
      <c r="L51" s="102"/>
      <c r="M51" s="102"/>
    </row>
    <row r="52" spans="2:13" x14ac:dyDescent="0.2">
      <c r="B52" s="165" t="s">
        <v>63</v>
      </c>
      <c r="C52" s="20" t="s">
        <v>65</v>
      </c>
      <c r="D52" s="102"/>
      <c r="E52" s="20"/>
      <c r="F52" s="145"/>
      <c r="G52" s="145"/>
      <c r="H52" s="145"/>
      <c r="I52" s="145"/>
      <c r="J52" s="145"/>
      <c r="K52" s="145"/>
      <c r="L52" s="102"/>
      <c r="M52" s="102"/>
    </row>
    <row r="53" spans="2:13" x14ac:dyDescent="0.2">
      <c r="B53" s="165" t="s">
        <v>66</v>
      </c>
      <c r="C53" s="20"/>
      <c r="D53" s="102"/>
      <c r="E53" s="20"/>
      <c r="F53" s="145"/>
      <c r="G53" s="145"/>
      <c r="H53" s="145"/>
      <c r="I53" s="145"/>
      <c r="J53" s="145"/>
      <c r="K53" s="145"/>
      <c r="L53" s="102"/>
      <c r="M53" s="102"/>
    </row>
    <row r="54" spans="2:13" x14ac:dyDescent="0.2">
      <c r="B54" s="166" t="s">
        <v>156</v>
      </c>
      <c r="C54" s="20"/>
      <c r="D54" s="102"/>
      <c r="E54" s="20"/>
      <c r="F54" s="145"/>
      <c r="G54" s="145"/>
      <c r="H54" s="145"/>
      <c r="I54" s="145"/>
      <c r="J54" s="145"/>
      <c r="K54" s="145"/>
      <c r="L54" s="102"/>
      <c r="M54" s="102"/>
    </row>
    <row r="55" spans="2:13" x14ac:dyDescent="0.2">
      <c r="B55" s="167" t="s">
        <v>108</v>
      </c>
      <c r="C55" s="20">
        <v>5</v>
      </c>
      <c r="D55" s="102">
        <v>0</v>
      </c>
      <c r="E55" s="20">
        <v>1</v>
      </c>
      <c r="F55" s="145">
        <f t="shared" ref="F55:F62" si="0">C55*E55</f>
        <v>5</v>
      </c>
      <c r="G55" s="145">
        <f>G10</f>
        <v>140</v>
      </c>
      <c r="H55" s="145">
        <f t="shared" ref="H55:H62" si="1">G55*F55</f>
        <v>700</v>
      </c>
      <c r="I55" s="145">
        <f t="shared" ref="I55:I62" si="2">H55*0.1</f>
        <v>70</v>
      </c>
      <c r="J55" s="145">
        <f t="shared" ref="J55:J62" si="3">H55*0.05</f>
        <v>35</v>
      </c>
      <c r="K55" s="145">
        <f t="shared" ref="K55:K62" si="4">SUM(H55:J55)</f>
        <v>805</v>
      </c>
      <c r="L55" s="102">
        <f>ROUND(H55*Inputs!$G$82+I55*Inputs!$G$84+J55*Inputs!$G$83,0)</f>
        <v>79677</v>
      </c>
      <c r="M55" s="102">
        <f t="shared" ref="M55:M62" si="5">D55*E55*G55</f>
        <v>0</v>
      </c>
    </row>
    <row r="56" spans="2:13" x14ac:dyDescent="0.2">
      <c r="B56" s="167" t="s">
        <v>109</v>
      </c>
      <c r="C56" s="20">
        <v>15</v>
      </c>
      <c r="D56" s="102">
        <v>0</v>
      </c>
      <c r="E56" s="20">
        <v>1</v>
      </c>
      <c r="F56" s="145">
        <f t="shared" si="0"/>
        <v>15</v>
      </c>
      <c r="G56" s="145">
        <f>G13</f>
        <v>140</v>
      </c>
      <c r="H56" s="145">
        <f t="shared" si="1"/>
        <v>2100</v>
      </c>
      <c r="I56" s="145">
        <f t="shared" si="2"/>
        <v>210</v>
      </c>
      <c r="J56" s="145">
        <f t="shared" si="3"/>
        <v>105</v>
      </c>
      <c r="K56" s="145">
        <f t="shared" si="4"/>
        <v>2415</v>
      </c>
      <c r="L56" s="102">
        <f>ROUND(H56*Inputs!$G$82+I56*Inputs!$G$84+J56*Inputs!$G$83,0)</f>
        <v>239030</v>
      </c>
      <c r="M56" s="102">
        <f t="shared" si="5"/>
        <v>0</v>
      </c>
    </row>
    <row r="57" spans="2:13" x14ac:dyDescent="0.2">
      <c r="B57" s="167" t="s">
        <v>206</v>
      </c>
      <c r="C57" s="20">
        <v>10</v>
      </c>
      <c r="D57" s="102">
        <v>0</v>
      </c>
      <c r="E57" s="20">
        <v>1</v>
      </c>
      <c r="F57" s="145">
        <f t="shared" si="0"/>
        <v>10</v>
      </c>
      <c r="G57" s="145">
        <f>G34</f>
        <v>140</v>
      </c>
      <c r="H57" s="145">
        <f t="shared" si="1"/>
        <v>1400</v>
      </c>
      <c r="I57" s="145">
        <f t="shared" si="2"/>
        <v>140</v>
      </c>
      <c r="J57" s="145">
        <f t="shared" si="3"/>
        <v>70</v>
      </c>
      <c r="K57" s="145">
        <f t="shared" ref="K57:K60" si="6">SUM(H57:J57)</f>
        <v>1610</v>
      </c>
      <c r="L57" s="102">
        <f>ROUND(H57*Inputs!$G$82+I57*Inputs!$G$84+J57*Inputs!$G$83,0)</f>
        <v>159354</v>
      </c>
      <c r="M57" s="102">
        <f t="shared" si="5"/>
        <v>0</v>
      </c>
    </row>
    <row r="58" spans="2:13" x14ac:dyDescent="0.2">
      <c r="B58" s="167" t="s">
        <v>207</v>
      </c>
      <c r="C58" s="20">
        <v>10</v>
      </c>
      <c r="D58" s="102">
        <v>0</v>
      </c>
      <c r="E58" s="20">
        <v>1</v>
      </c>
      <c r="F58" s="145">
        <f t="shared" si="0"/>
        <v>10</v>
      </c>
      <c r="G58" s="145">
        <f>G25</f>
        <v>140</v>
      </c>
      <c r="H58" s="145">
        <f t="shared" si="1"/>
        <v>1400</v>
      </c>
      <c r="I58" s="145">
        <f t="shared" si="2"/>
        <v>140</v>
      </c>
      <c r="J58" s="145">
        <f t="shared" si="3"/>
        <v>70</v>
      </c>
      <c r="K58" s="145">
        <f t="shared" si="6"/>
        <v>1610</v>
      </c>
      <c r="L58" s="102">
        <f>ROUND(H58*Inputs!$G$82+I58*Inputs!$G$84+J58*Inputs!$G$83,0)</f>
        <v>159354</v>
      </c>
      <c r="M58" s="102">
        <f t="shared" si="5"/>
        <v>0</v>
      </c>
    </row>
    <row r="59" spans="2:13" x14ac:dyDescent="0.2">
      <c r="B59" s="167" t="s">
        <v>269</v>
      </c>
      <c r="C59" s="20">
        <v>5</v>
      </c>
      <c r="D59" s="102">
        <v>0</v>
      </c>
      <c r="E59" s="20">
        <v>1</v>
      </c>
      <c r="F59" s="145">
        <f t="shared" si="0"/>
        <v>5</v>
      </c>
      <c r="G59" s="145">
        <f>G19</f>
        <v>2</v>
      </c>
      <c r="H59" s="145">
        <f t="shared" si="1"/>
        <v>10</v>
      </c>
      <c r="I59" s="145">
        <f t="shared" si="2"/>
        <v>1</v>
      </c>
      <c r="J59" s="145">
        <f t="shared" si="3"/>
        <v>0.5</v>
      </c>
      <c r="K59" s="145">
        <f t="shared" si="6"/>
        <v>11.5</v>
      </c>
      <c r="L59" s="102">
        <f>ROUND(H59*Inputs!$G$82+I59*Inputs!$G$84+J59*Inputs!$G$83,0)</f>
        <v>1138</v>
      </c>
      <c r="M59" s="102">
        <f t="shared" si="5"/>
        <v>0</v>
      </c>
    </row>
    <row r="60" spans="2:13" ht="22.5" x14ac:dyDescent="0.2">
      <c r="B60" s="223" t="s">
        <v>257</v>
      </c>
      <c r="C60" s="20">
        <v>4</v>
      </c>
      <c r="D60" s="102">
        <v>0</v>
      </c>
      <c r="E60" s="20">
        <v>1</v>
      </c>
      <c r="F60" s="145">
        <f t="shared" si="0"/>
        <v>4</v>
      </c>
      <c r="G60" s="145">
        <f>Inputs!J7</f>
        <v>17</v>
      </c>
      <c r="H60" s="145">
        <f t="shared" si="1"/>
        <v>68</v>
      </c>
      <c r="I60" s="145">
        <f t="shared" si="2"/>
        <v>6.8000000000000007</v>
      </c>
      <c r="J60" s="145">
        <f t="shared" si="3"/>
        <v>3.4000000000000004</v>
      </c>
      <c r="K60" s="145">
        <f t="shared" si="6"/>
        <v>78.2</v>
      </c>
      <c r="L60" s="102">
        <f>ROUND(H60*Inputs!$G$82+I60*Inputs!$G$84+J60*Inputs!$G$83,0)</f>
        <v>7740</v>
      </c>
      <c r="M60" s="102">
        <f t="shared" si="5"/>
        <v>0</v>
      </c>
    </row>
    <row r="61" spans="2:13" ht="22.5" x14ac:dyDescent="0.2">
      <c r="B61" s="223" t="s">
        <v>258</v>
      </c>
      <c r="C61" s="224">
        <v>4</v>
      </c>
      <c r="D61" s="225">
        <v>0</v>
      </c>
      <c r="E61" s="224">
        <v>1</v>
      </c>
      <c r="F61" s="226">
        <f t="shared" si="0"/>
        <v>4</v>
      </c>
      <c r="G61" s="226">
        <f>G37</f>
        <v>7</v>
      </c>
      <c r="H61" s="226">
        <f t="shared" si="1"/>
        <v>28</v>
      </c>
      <c r="I61" s="226">
        <f t="shared" si="2"/>
        <v>2.8000000000000003</v>
      </c>
      <c r="J61" s="226">
        <f t="shared" si="3"/>
        <v>1.4000000000000001</v>
      </c>
      <c r="K61" s="226">
        <f t="shared" si="4"/>
        <v>32.200000000000003</v>
      </c>
      <c r="L61" s="225">
        <f>ROUND(H61*Inputs!$G$82+I61*Inputs!$G$84+J61*Inputs!$G$83,0)</f>
        <v>3187</v>
      </c>
      <c r="M61" s="225">
        <f t="shared" si="5"/>
        <v>0</v>
      </c>
    </row>
    <row r="62" spans="2:13" x14ac:dyDescent="0.2">
      <c r="B62" s="167" t="s">
        <v>259</v>
      </c>
      <c r="C62" s="20">
        <v>4</v>
      </c>
      <c r="D62" s="102">
        <v>0</v>
      </c>
      <c r="E62" s="20">
        <v>1</v>
      </c>
      <c r="F62" s="145">
        <f t="shared" si="0"/>
        <v>4</v>
      </c>
      <c r="G62" s="145">
        <f>G49</f>
        <v>17</v>
      </c>
      <c r="H62" s="145">
        <f t="shared" si="1"/>
        <v>68</v>
      </c>
      <c r="I62" s="145">
        <f t="shared" si="2"/>
        <v>6.8000000000000007</v>
      </c>
      <c r="J62" s="145">
        <f t="shared" si="3"/>
        <v>3.4000000000000004</v>
      </c>
      <c r="K62" s="145">
        <f t="shared" si="4"/>
        <v>78.2</v>
      </c>
      <c r="L62" s="102">
        <f>ROUND(H62*Inputs!$G$82+I62*Inputs!$G$84+J62*Inputs!$G$83,0)</f>
        <v>7740</v>
      </c>
      <c r="M62" s="102">
        <f t="shared" si="5"/>
        <v>0</v>
      </c>
    </row>
    <row r="63" spans="2:13" x14ac:dyDescent="0.2">
      <c r="B63" s="168" t="s">
        <v>157</v>
      </c>
      <c r="C63" s="20"/>
      <c r="D63" s="102"/>
      <c r="E63" s="20"/>
      <c r="F63" s="145"/>
      <c r="G63" s="145"/>
      <c r="H63" s="145"/>
      <c r="I63" s="145"/>
      <c r="J63" s="145"/>
      <c r="K63" s="145"/>
      <c r="L63" s="102"/>
      <c r="M63" s="102"/>
    </row>
    <row r="64" spans="2:13" x14ac:dyDescent="0.2">
      <c r="B64" s="167" t="s">
        <v>108</v>
      </c>
      <c r="C64" s="20">
        <v>5</v>
      </c>
      <c r="D64" s="102">
        <v>0</v>
      </c>
      <c r="E64" s="20">
        <v>2</v>
      </c>
      <c r="F64" s="145">
        <f t="shared" ref="F64:F74" si="7">C64*E64</f>
        <v>10</v>
      </c>
      <c r="G64" s="145">
        <f>G10</f>
        <v>140</v>
      </c>
      <c r="H64" s="145">
        <f t="shared" ref="H64:H74" si="8">G64*F64</f>
        <v>1400</v>
      </c>
      <c r="I64" s="145">
        <f t="shared" ref="I64:I74" si="9">H64*0.1</f>
        <v>140</v>
      </c>
      <c r="J64" s="145">
        <f t="shared" ref="J64:J74" si="10">H64*0.05</f>
        <v>70</v>
      </c>
      <c r="K64" s="145">
        <f t="shared" ref="K64:K74" si="11">SUM(H64:J64)</f>
        <v>1610</v>
      </c>
      <c r="L64" s="102">
        <f>ROUND(H64*Inputs!$G$82+I64*Inputs!$G$84+J64*Inputs!$G$83,0)</f>
        <v>159354</v>
      </c>
      <c r="M64" s="102">
        <f t="shared" ref="M64:M74" si="12">D64*E64*G64</f>
        <v>0</v>
      </c>
    </row>
    <row r="65" spans="2:13" x14ac:dyDescent="0.2">
      <c r="B65" s="167" t="s">
        <v>109</v>
      </c>
      <c r="C65" s="20">
        <v>10</v>
      </c>
      <c r="D65" s="102">
        <v>0</v>
      </c>
      <c r="E65" s="20">
        <v>2</v>
      </c>
      <c r="F65" s="145">
        <f t="shared" si="7"/>
        <v>20</v>
      </c>
      <c r="G65" s="145">
        <f>G13</f>
        <v>140</v>
      </c>
      <c r="H65" s="145">
        <f t="shared" si="8"/>
        <v>2800</v>
      </c>
      <c r="I65" s="145">
        <f t="shared" si="9"/>
        <v>280</v>
      </c>
      <c r="J65" s="145">
        <f t="shared" si="10"/>
        <v>140</v>
      </c>
      <c r="K65" s="145">
        <f t="shared" si="11"/>
        <v>3220</v>
      </c>
      <c r="L65" s="102">
        <f>ROUND(H65*Inputs!$G$82+I65*Inputs!$G$84+J65*Inputs!$G$83,0)</f>
        <v>318707</v>
      </c>
      <c r="M65" s="102">
        <f t="shared" si="12"/>
        <v>0</v>
      </c>
    </row>
    <row r="66" spans="2:13" x14ac:dyDescent="0.2">
      <c r="B66" s="167" t="s">
        <v>154</v>
      </c>
      <c r="C66" s="20">
        <v>4</v>
      </c>
      <c r="D66" s="102">
        <v>0</v>
      </c>
      <c r="E66" s="20">
        <v>2</v>
      </c>
      <c r="F66" s="145">
        <f t="shared" si="7"/>
        <v>8</v>
      </c>
      <c r="G66" s="145">
        <f>G25</f>
        <v>140</v>
      </c>
      <c r="H66" s="145">
        <f t="shared" si="8"/>
        <v>1120</v>
      </c>
      <c r="I66" s="145">
        <f t="shared" si="9"/>
        <v>112</v>
      </c>
      <c r="J66" s="145">
        <f t="shared" si="10"/>
        <v>56</v>
      </c>
      <c r="K66" s="145">
        <f t="shared" si="11"/>
        <v>1288</v>
      </c>
      <c r="L66" s="102">
        <f>ROUND(H66*Inputs!$G$82+I66*Inputs!$G$84+J66*Inputs!$G$83,0)</f>
        <v>127483</v>
      </c>
      <c r="M66" s="102">
        <f t="shared" si="12"/>
        <v>0</v>
      </c>
    </row>
    <row r="67" spans="2:13" x14ac:dyDescent="0.2">
      <c r="B67" s="167" t="s">
        <v>260</v>
      </c>
      <c r="C67" s="20">
        <v>4</v>
      </c>
      <c r="D67" s="102">
        <v>0</v>
      </c>
      <c r="E67" s="20">
        <v>2</v>
      </c>
      <c r="F67" s="145">
        <f t="shared" si="7"/>
        <v>8</v>
      </c>
      <c r="G67" s="145">
        <v>0</v>
      </c>
      <c r="H67" s="145">
        <f t="shared" si="8"/>
        <v>0</v>
      </c>
      <c r="I67" s="145">
        <f t="shared" si="9"/>
        <v>0</v>
      </c>
      <c r="J67" s="145">
        <f t="shared" si="10"/>
        <v>0</v>
      </c>
      <c r="K67" s="145">
        <f t="shared" si="11"/>
        <v>0</v>
      </c>
      <c r="L67" s="102">
        <f>ROUND(H67*Inputs!$G$82+I67*Inputs!$G$84+J67*Inputs!$G$83,0)</f>
        <v>0</v>
      </c>
      <c r="M67" s="102">
        <f t="shared" si="12"/>
        <v>0</v>
      </c>
    </row>
    <row r="68" spans="2:13" x14ac:dyDescent="0.2">
      <c r="B68" s="167" t="s">
        <v>128</v>
      </c>
      <c r="C68" s="20">
        <v>3</v>
      </c>
      <c r="D68" s="102">
        <v>0</v>
      </c>
      <c r="E68" s="20">
        <v>2</v>
      </c>
      <c r="F68" s="145">
        <f t="shared" si="7"/>
        <v>6</v>
      </c>
      <c r="G68" s="145">
        <f>G17</f>
        <v>140</v>
      </c>
      <c r="H68" s="145">
        <f t="shared" si="8"/>
        <v>840</v>
      </c>
      <c r="I68" s="145">
        <f t="shared" si="9"/>
        <v>84</v>
      </c>
      <c r="J68" s="145">
        <f t="shared" si="10"/>
        <v>42</v>
      </c>
      <c r="K68" s="145">
        <f t="shared" si="11"/>
        <v>966</v>
      </c>
      <c r="L68" s="102">
        <f>ROUND(H68*Inputs!$G$82+I68*Inputs!$G$84+J68*Inputs!$G$83,0)</f>
        <v>95612</v>
      </c>
      <c r="M68" s="102">
        <f t="shared" si="12"/>
        <v>0</v>
      </c>
    </row>
    <row r="69" spans="2:13" ht="22.5" x14ac:dyDescent="0.2">
      <c r="B69" s="223" t="s">
        <v>209</v>
      </c>
      <c r="C69" s="20">
        <v>3</v>
      </c>
      <c r="D69" s="102">
        <v>0</v>
      </c>
      <c r="E69" s="20">
        <v>2</v>
      </c>
      <c r="F69" s="145">
        <f t="shared" si="7"/>
        <v>6</v>
      </c>
      <c r="G69" s="145">
        <f>G25</f>
        <v>140</v>
      </c>
      <c r="H69" s="145">
        <f t="shared" si="8"/>
        <v>840</v>
      </c>
      <c r="I69" s="145">
        <f t="shared" si="9"/>
        <v>84</v>
      </c>
      <c r="J69" s="145">
        <f t="shared" si="10"/>
        <v>42</v>
      </c>
      <c r="K69" s="145">
        <f t="shared" si="11"/>
        <v>966</v>
      </c>
      <c r="L69" s="102">
        <f>ROUND(H69*Inputs!$G$82+I69*Inputs!$G$84+J69*Inputs!$G$83,0)</f>
        <v>95612</v>
      </c>
      <c r="M69" s="102">
        <f t="shared" si="12"/>
        <v>0</v>
      </c>
    </row>
    <row r="70" spans="2:13" x14ac:dyDescent="0.2">
      <c r="B70" s="223" t="s">
        <v>270</v>
      </c>
      <c r="C70" s="20">
        <v>3</v>
      </c>
      <c r="D70" s="102">
        <v>0</v>
      </c>
      <c r="E70" s="20">
        <v>2</v>
      </c>
      <c r="F70" s="145">
        <f t="shared" si="7"/>
        <v>6</v>
      </c>
      <c r="G70" s="145">
        <f>G19</f>
        <v>2</v>
      </c>
      <c r="H70" s="145">
        <f t="shared" si="8"/>
        <v>12</v>
      </c>
      <c r="I70" s="145">
        <f t="shared" si="9"/>
        <v>1.2000000000000002</v>
      </c>
      <c r="J70" s="145">
        <f t="shared" si="10"/>
        <v>0.60000000000000009</v>
      </c>
      <c r="K70" s="145">
        <f t="shared" si="11"/>
        <v>13.799999999999999</v>
      </c>
      <c r="L70" s="102">
        <f>ROUND(H70*Inputs!$G$82+I70*Inputs!$G$84+J70*Inputs!$G$83,0)</f>
        <v>1366</v>
      </c>
      <c r="M70" s="102">
        <f t="shared" si="12"/>
        <v>0</v>
      </c>
    </row>
    <row r="71" spans="2:13" x14ac:dyDescent="0.2">
      <c r="B71" s="223" t="s">
        <v>211</v>
      </c>
      <c r="C71" s="20">
        <v>4</v>
      </c>
      <c r="D71" s="102">
        <v>0</v>
      </c>
      <c r="E71" s="20">
        <v>2</v>
      </c>
      <c r="F71" s="145">
        <f t="shared" si="7"/>
        <v>8</v>
      </c>
      <c r="G71" s="145">
        <f>G22</f>
        <v>140</v>
      </c>
      <c r="H71" s="145">
        <f t="shared" si="8"/>
        <v>1120</v>
      </c>
      <c r="I71" s="145">
        <f t="shared" si="9"/>
        <v>112</v>
      </c>
      <c r="J71" s="145">
        <f t="shared" si="10"/>
        <v>56</v>
      </c>
      <c r="K71" s="145">
        <f t="shared" si="11"/>
        <v>1288</v>
      </c>
      <c r="L71" s="102">
        <f>ROUND(H71*Inputs!$G$82+I71*Inputs!$G$84+J71*Inputs!$G$83,0)</f>
        <v>127483</v>
      </c>
      <c r="M71" s="102">
        <f t="shared" si="12"/>
        <v>0</v>
      </c>
    </row>
    <row r="72" spans="2:13" ht="21" customHeight="1" x14ac:dyDescent="0.2">
      <c r="B72" s="223" t="s">
        <v>261</v>
      </c>
      <c r="C72" s="224">
        <v>4</v>
      </c>
      <c r="D72" s="225">
        <v>0</v>
      </c>
      <c r="E72" s="224">
        <v>2</v>
      </c>
      <c r="F72" s="226">
        <f t="shared" si="7"/>
        <v>8</v>
      </c>
      <c r="G72" s="226">
        <f>G37</f>
        <v>7</v>
      </c>
      <c r="H72" s="226">
        <f t="shared" si="8"/>
        <v>56</v>
      </c>
      <c r="I72" s="226">
        <f t="shared" si="9"/>
        <v>5.6000000000000005</v>
      </c>
      <c r="J72" s="226">
        <f t="shared" si="10"/>
        <v>2.8000000000000003</v>
      </c>
      <c r="K72" s="226">
        <f t="shared" si="11"/>
        <v>64.400000000000006</v>
      </c>
      <c r="L72" s="225">
        <f>ROUND(H72*Inputs!$G$82+I72*Inputs!$G$84+J72*Inputs!$G$83,0)</f>
        <v>6374</v>
      </c>
      <c r="M72" s="225">
        <f t="shared" si="12"/>
        <v>0</v>
      </c>
    </row>
    <row r="73" spans="2:13" x14ac:dyDescent="0.2">
      <c r="B73" s="167" t="s">
        <v>262</v>
      </c>
      <c r="C73" s="20">
        <v>4</v>
      </c>
      <c r="D73" s="102">
        <v>0</v>
      </c>
      <c r="E73" s="20">
        <v>2</v>
      </c>
      <c r="F73" s="145">
        <f t="shared" si="7"/>
        <v>8</v>
      </c>
      <c r="G73" s="145">
        <f>G49</f>
        <v>17</v>
      </c>
      <c r="H73" s="145">
        <f t="shared" si="8"/>
        <v>136</v>
      </c>
      <c r="I73" s="145">
        <f t="shared" si="9"/>
        <v>13.600000000000001</v>
      </c>
      <c r="J73" s="145">
        <f t="shared" si="10"/>
        <v>6.8000000000000007</v>
      </c>
      <c r="K73" s="145">
        <f t="shared" si="11"/>
        <v>156.4</v>
      </c>
      <c r="L73" s="102">
        <f>ROUND(H73*Inputs!$G$82+I73*Inputs!$G$84+J73*Inputs!$G$83,0)</f>
        <v>15480</v>
      </c>
      <c r="M73" s="102">
        <f t="shared" si="12"/>
        <v>0</v>
      </c>
    </row>
    <row r="74" spans="2:13" ht="22.5" x14ac:dyDescent="0.2">
      <c r="B74" s="223" t="s">
        <v>263</v>
      </c>
      <c r="C74" s="20">
        <v>4</v>
      </c>
      <c r="D74" s="102">
        <v>0</v>
      </c>
      <c r="E74" s="20">
        <v>2</v>
      </c>
      <c r="F74" s="145">
        <f t="shared" si="7"/>
        <v>8</v>
      </c>
      <c r="G74" s="145">
        <f>G60</f>
        <v>17</v>
      </c>
      <c r="H74" s="145">
        <f t="shared" si="8"/>
        <v>136</v>
      </c>
      <c r="I74" s="145">
        <f t="shared" si="9"/>
        <v>13.600000000000001</v>
      </c>
      <c r="J74" s="145">
        <f t="shared" si="10"/>
        <v>6.8000000000000007</v>
      </c>
      <c r="K74" s="145">
        <f t="shared" si="11"/>
        <v>156.4</v>
      </c>
      <c r="L74" s="102">
        <f>ROUND(H74*Inputs!$G$82+I74*Inputs!$G$84+J74*Inputs!$G$83,0)</f>
        <v>15480</v>
      </c>
      <c r="M74" s="102">
        <f t="shared" si="12"/>
        <v>0</v>
      </c>
    </row>
    <row r="75" spans="2:13" x14ac:dyDescent="0.2">
      <c r="B75" s="168" t="s">
        <v>264</v>
      </c>
      <c r="C75" s="20"/>
      <c r="D75" s="102"/>
      <c r="E75" s="20"/>
      <c r="F75" s="145"/>
      <c r="G75" s="145"/>
      <c r="H75" s="145"/>
      <c r="I75" s="145"/>
      <c r="J75" s="145"/>
      <c r="K75" s="145"/>
      <c r="L75" s="102"/>
      <c r="M75" s="102"/>
    </row>
    <row r="76" spans="2:13" x14ac:dyDescent="0.2">
      <c r="B76" s="223" t="s">
        <v>213</v>
      </c>
      <c r="C76" s="20">
        <v>10</v>
      </c>
      <c r="D76" s="102">
        <v>0</v>
      </c>
      <c r="E76" s="20">
        <v>1</v>
      </c>
      <c r="F76" s="145">
        <f t="shared" ref="F76:F78" si="13">C76*E76</f>
        <v>10</v>
      </c>
      <c r="G76" s="145">
        <f>G31</f>
        <v>126</v>
      </c>
      <c r="H76" s="145">
        <f t="shared" ref="H76:H78" si="14">G76*F76</f>
        <v>1260</v>
      </c>
      <c r="I76" s="145">
        <f t="shared" ref="I76:I78" si="15">H76*0.1</f>
        <v>126</v>
      </c>
      <c r="J76" s="145">
        <f t="shared" ref="J76:J78" si="16">H76*0.05</f>
        <v>63</v>
      </c>
      <c r="K76" s="145">
        <f t="shared" ref="K76:K78" si="17">SUM(H76:J76)</f>
        <v>1449</v>
      </c>
      <c r="L76" s="102">
        <f>ROUND(H76*Inputs!$G$82+I76*Inputs!$G$84+J76*Inputs!$G$83,0)</f>
        <v>143418</v>
      </c>
      <c r="M76" s="102">
        <f t="shared" ref="M76:M78" si="18">D76*E76*G76</f>
        <v>0</v>
      </c>
    </row>
    <row r="77" spans="2:13" x14ac:dyDescent="0.2">
      <c r="B77" s="223" t="s">
        <v>214</v>
      </c>
      <c r="C77" s="20">
        <v>10</v>
      </c>
      <c r="D77" s="102">
        <v>0</v>
      </c>
      <c r="E77" s="20">
        <v>1</v>
      </c>
      <c r="F77" s="145">
        <f t="shared" si="13"/>
        <v>10</v>
      </c>
      <c r="G77" s="145">
        <v>126</v>
      </c>
      <c r="H77" s="145">
        <f t="shared" si="14"/>
        <v>1260</v>
      </c>
      <c r="I77" s="145">
        <f t="shared" si="15"/>
        <v>126</v>
      </c>
      <c r="J77" s="145">
        <f t="shared" si="16"/>
        <v>63</v>
      </c>
      <c r="K77" s="145">
        <f t="shared" si="17"/>
        <v>1449</v>
      </c>
      <c r="L77" s="102">
        <f>ROUND(H77*Inputs!$G$82+I77*Inputs!$G$84+J77*Inputs!$G$83,0)</f>
        <v>143418</v>
      </c>
      <c r="M77" s="102">
        <f t="shared" si="18"/>
        <v>0</v>
      </c>
    </row>
    <row r="78" spans="2:13" x14ac:dyDescent="0.2">
      <c r="B78" s="223" t="s">
        <v>215</v>
      </c>
      <c r="C78" s="20">
        <v>4</v>
      </c>
      <c r="D78" s="102">
        <v>0</v>
      </c>
      <c r="E78" s="20">
        <v>4</v>
      </c>
      <c r="F78" s="145">
        <f t="shared" si="13"/>
        <v>16</v>
      </c>
      <c r="G78" s="145">
        <f>G31</f>
        <v>126</v>
      </c>
      <c r="H78" s="145">
        <f t="shared" si="14"/>
        <v>2016</v>
      </c>
      <c r="I78" s="145">
        <f t="shared" si="15"/>
        <v>201.60000000000002</v>
      </c>
      <c r="J78" s="145">
        <f t="shared" si="16"/>
        <v>100.80000000000001</v>
      </c>
      <c r="K78" s="145">
        <f t="shared" si="17"/>
        <v>2318.4</v>
      </c>
      <c r="L78" s="102">
        <f>ROUND(H78*Inputs!$G$82+I78*Inputs!$G$84+J78*Inputs!$G$83,0)</f>
        <v>229469</v>
      </c>
      <c r="M78" s="102">
        <f t="shared" si="18"/>
        <v>0</v>
      </c>
    </row>
    <row r="79" spans="2:13" x14ac:dyDescent="0.2">
      <c r="B79" s="169" t="s">
        <v>67</v>
      </c>
      <c r="C79" s="20"/>
      <c r="D79" s="102"/>
      <c r="E79" s="20"/>
      <c r="F79" s="20"/>
      <c r="G79" s="145"/>
      <c r="H79" s="210">
        <f>SUM(H7:H78)</f>
        <v>18785.84</v>
      </c>
      <c r="I79" s="210">
        <f>SUM(I7:I78)</f>
        <v>1878.5839999999998</v>
      </c>
      <c r="J79" s="210">
        <f>SUM(J7:J78)</f>
        <v>939.29199999999992</v>
      </c>
      <c r="K79" s="210">
        <f>SUM(K7:K78)</f>
        <v>21603.716</v>
      </c>
      <c r="L79" s="211">
        <f>SUM(L7:L78)</f>
        <v>2138279</v>
      </c>
      <c r="M79" s="211">
        <f>SUM(M7:M78)-M10-M13-M16-M40-M43-M19-M22-M25-M28-M31-M34-M37-M46-M49</f>
        <v>108805563</v>
      </c>
    </row>
    <row r="80" spans="2:13" x14ac:dyDescent="0.2">
      <c r="B80" s="164" t="s">
        <v>53</v>
      </c>
      <c r="C80" s="20"/>
      <c r="D80" s="102"/>
      <c r="E80" s="20"/>
      <c r="F80" s="20"/>
      <c r="G80" s="145"/>
      <c r="H80" s="20"/>
      <c r="I80" s="21"/>
      <c r="J80" s="21"/>
      <c r="K80" s="21"/>
      <c r="L80" s="102"/>
      <c r="M80" s="102"/>
    </row>
    <row r="81" spans="2:13" x14ac:dyDescent="0.2">
      <c r="B81" s="165" t="s">
        <v>54</v>
      </c>
      <c r="C81" s="20" t="s">
        <v>95</v>
      </c>
      <c r="D81" s="102"/>
      <c r="E81" s="20"/>
      <c r="F81" s="20"/>
      <c r="G81" s="145"/>
      <c r="H81" s="20"/>
      <c r="I81" s="21"/>
      <c r="J81" s="21"/>
      <c r="K81" s="21"/>
      <c r="L81" s="102"/>
      <c r="M81" s="102"/>
    </row>
    <row r="82" spans="2:13" x14ac:dyDescent="0.2">
      <c r="B82" s="165" t="s">
        <v>91</v>
      </c>
      <c r="C82" s="144" t="s">
        <v>58</v>
      </c>
      <c r="D82" s="102"/>
      <c r="E82" s="20"/>
      <c r="F82" s="20"/>
      <c r="G82" s="145"/>
      <c r="H82" s="20"/>
      <c r="I82" s="21"/>
      <c r="J82" s="21"/>
      <c r="K82" s="21"/>
      <c r="L82" s="102"/>
      <c r="M82" s="102"/>
    </row>
    <row r="83" spans="2:13" x14ac:dyDescent="0.2">
      <c r="B83" s="165" t="s">
        <v>55</v>
      </c>
      <c r="C83" s="144" t="s">
        <v>58</v>
      </c>
      <c r="D83" s="102"/>
      <c r="E83" s="20"/>
      <c r="F83" s="20"/>
      <c r="G83" s="145"/>
      <c r="H83" s="20"/>
      <c r="I83" s="21"/>
      <c r="J83" s="21"/>
      <c r="K83" s="21"/>
      <c r="L83" s="102"/>
      <c r="M83" s="102"/>
    </row>
    <row r="84" spans="2:13" x14ac:dyDescent="0.2">
      <c r="B84" s="165" t="s">
        <v>68</v>
      </c>
      <c r="C84" s="20"/>
      <c r="D84" s="102"/>
      <c r="E84" s="20"/>
      <c r="F84" s="20"/>
      <c r="G84" s="145"/>
      <c r="H84" s="20"/>
      <c r="I84" s="21"/>
      <c r="J84" s="21"/>
      <c r="K84" s="21"/>
      <c r="L84" s="102"/>
      <c r="M84" s="102"/>
    </row>
    <row r="85" spans="2:13" x14ac:dyDescent="0.2">
      <c r="B85" s="168" t="s">
        <v>265</v>
      </c>
      <c r="C85" s="20">
        <v>1</v>
      </c>
      <c r="D85" s="102">
        <v>0</v>
      </c>
      <c r="E85" s="20">
        <v>12</v>
      </c>
      <c r="F85" s="20">
        <f t="shared" ref="F85:F88" si="19">C85*E85</f>
        <v>12</v>
      </c>
      <c r="G85" s="145">
        <f>Inputs!J3</f>
        <v>9</v>
      </c>
      <c r="H85" s="145">
        <f t="shared" ref="H85:H101" si="20">G85*F85</f>
        <v>108</v>
      </c>
      <c r="I85" s="145">
        <f t="shared" ref="I85:I101" si="21">H85*0.1</f>
        <v>10.8</v>
      </c>
      <c r="J85" s="145">
        <f t="shared" ref="J85:J101" si="22">H85*0.05</f>
        <v>5.4</v>
      </c>
      <c r="K85" s="147">
        <f t="shared" ref="K85:K101" si="23">SUM(H85:J85)</f>
        <v>124.2</v>
      </c>
      <c r="L85" s="102">
        <f>ROUND(H85*Inputs!$G$82+I85*Inputs!$G$84+J85*Inputs!$G$83,0)</f>
        <v>12293</v>
      </c>
      <c r="M85" s="102">
        <f t="shared" ref="M85:M101" si="24">D85*E85*G85</f>
        <v>0</v>
      </c>
    </row>
    <row r="86" spans="2:13" x14ac:dyDescent="0.2">
      <c r="B86" s="168" t="s">
        <v>221</v>
      </c>
      <c r="C86" s="20">
        <v>0.4</v>
      </c>
      <c r="D86" s="102">
        <v>0</v>
      </c>
      <c r="E86" s="20">
        <v>365</v>
      </c>
      <c r="F86" s="20">
        <f t="shared" si="19"/>
        <v>146</v>
      </c>
      <c r="G86" s="145">
        <f>G64</f>
        <v>140</v>
      </c>
      <c r="H86" s="145">
        <f t="shared" si="20"/>
        <v>20440</v>
      </c>
      <c r="I86" s="145">
        <f t="shared" si="21"/>
        <v>2044</v>
      </c>
      <c r="J86" s="145">
        <f t="shared" si="22"/>
        <v>1022</v>
      </c>
      <c r="K86" s="147">
        <f t="shared" si="23"/>
        <v>23506</v>
      </c>
      <c r="L86" s="102">
        <f>ROUND(H86*Inputs!$G$82+I86*Inputs!$G$84+J86*Inputs!$G$83,0)</f>
        <v>2326563</v>
      </c>
      <c r="M86" s="102">
        <f t="shared" si="24"/>
        <v>0</v>
      </c>
    </row>
    <row r="87" spans="2:13" x14ac:dyDescent="0.2">
      <c r="B87" s="168" t="s">
        <v>216</v>
      </c>
      <c r="C87" s="20">
        <v>10</v>
      </c>
      <c r="D87" s="102">
        <v>0</v>
      </c>
      <c r="E87" s="20">
        <v>1</v>
      </c>
      <c r="F87" s="20">
        <f t="shared" si="19"/>
        <v>10</v>
      </c>
      <c r="G87" s="145">
        <f>G65</f>
        <v>140</v>
      </c>
      <c r="H87" s="145">
        <f t="shared" si="20"/>
        <v>1400</v>
      </c>
      <c r="I87" s="145">
        <f t="shared" si="21"/>
        <v>140</v>
      </c>
      <c r="J87" s="145">
        <f t="shared" si="22"/>
        <v>70</v>
      </c>
      <c r="K87" s="147">
        <f t="shared" si="23"/>
        <v>1610</v>
      </c>
      <c r="L87" s="102">
        <f>ROUND(H87*Inputs!$G$82+I87*Inputs!$G$84+J87*Inputs!$G$83,0)</f>
        <v>159354</v>
      </c>
      <c r="M87" s="102">
        <f t="shared" si="24"/>
        <v>0</v>
      </c>
    </row>
    <row r="88" spans="2:13" x14ac:dyDescent="0.2">
      <c r="B88" s="168" t="s">
        <v>267</v>
      </c>
      <c r="C88" s="20">
        <v>0</v>
      </c>
      <c r="D88" s="102">
        <v>0</v>
      </c>
      <c r="E88" s="20">
        <v>1</v>
      </c>
      <c r="F88" s="20">
        <f t="shared" si="19"/>
        <v>0</v>
      </c>
      <c r="G88" s="145">
        <v>0</v>
      </c>
      <c r="H88" s="145">
        <f t="shared" si="20"/>
        <v>0</v>
      </c>
      <c r="I88" s="145">
        <f t="shared" si="21"/>
        <v>0</v>
      </c>
      <c r="J88" s="145">
        <f t="shared" si="22"/>
        <v>0</v>
      </c>
      <c r="K88" s="147">
        <f t="shared" si="23"/>
        <v>0</v>
      </c>
      <c r="L88" s="102">
        <f>ROUND(H88*Inputs!$G$82+I88*Inputs!$G$84+J88*Inputs!$G$83,0)</f>
        <v>0</v>
      </c>
      <c r="M88" s="102">
        <f t="shared" si="24"/>
        <v>0</v>
      </c>
    </row>
    <row r="89" spans="2:13" x14ac:dyDescent="0.2">
      <c r="B89" s="168" t="s">
        <v>217</v>
      </c>
      <c r="C89" s="20">
        <v>1</v>
      </c>
      <c r="D89" s="102">
        <v>0</v>
      </c>
      <c r="E89" s="20">
        <v>1</v>
      </c>
      <c r="F89" s="20">
        <f>C89*E89</f>
        <v>1</v>
      </c>
      <c r="G89" s="145">
        <f>G66</f>
        <v>140</v>
      </c>
      <c r="H89" s="145">
        <f t="shared" si="20"/>
        <v>140</v>
      </c>
      <c r="I89" s="145">
        <f t="shared" si="21"/>
        <v>14</v>
      </c>
      <c r="J89" s="145">
        <f t="shared" si="22"/>
        <v>7</v>
      </c>
      <c r="K89" s="147">
        <f t="shared" si="23"/>
        <v>161</v>
      </c>
      <c r="L89" s="102">
        <f>ROUND(H89*Inputs!$G$82+I89*Inputs!$G$84+J89*Inputs!$G$83,0)</f>
        <v>15935</v>
      </c>
      <c r="M89" s="102">
        <f t="shared" si="24"/>
        <v>0</v>
      </c>
    </row>
    <row r="90" spans="2:13" x14ac:dyDescent="0.2">
      <c r="B90" s="168" t="s">
        <v>268</v>
      </c>
      <c r="C90" s="20">
        <v>0</v>
      </c>
      <c r="D90" s="102">
        <v>0</v>
      </c>
      <c r="E90" s="20">
        <v>1</v>
      </c>
      <c r="F90" s="20">
        <f t="shared" ref="F90:F101" si="25">C90*E90</f>
        <v>0</v>
      </c>
      <c r="G90" s="145">
        <f>G67</f>
        <v>0</v>
      </c>
      <c r="H90" s="145">
        <f t="shared" si="20"/>
        <v>0</v>
      </c>
      <c r="I90" s="145">
        <f t="shared" si="21"/>
        <v>0</v>
      </c>
      <c r="J90" s="145">
        <f t="shared" si="22"/>
        <v>0</v>
      </c>
      <c r="K90" s="147">
        <f t="shared" si="23"/>
        <v>0</v>
      </c>
      <c r="L90" s="102">
        <f>ROUND(H90*Inputs!$G$82+I90*Inputs!$G$84+J90*Inputs!$G$83,0)</f>
        <v>0</v>
      </c>
      <c r="M90" s="102">
        <f t="shared" si="24"/>
        <v>0</v>
      </c>
    </row>
    <row r="91" spans="2:13" ht="22.5" x14ac:dyDescent="0.2">
      <c r="B91" s="166" t="s">
        <v>275</v>
      </c>
      <c r="C91" s="224">
        <v>2</v>
      </c>
      <c r="D91" s="225">
        <v>0</v>
      </c>
      <c r="E91" s="224">
        <v>1</v>
      </c>
      <c r="F91" s="224">
        <f t="shared" si="25"/>
        <v>2</v>
      </c>
      <c r="G91" s="226">
        <f>G61</f>
        <v>7</v>
      </c>
      <c r="H91" s="226">
        <f t="shared" si="20"/>
        <v>14</v>
      </c>
      <c r="I91" s="226">
        <f t="shared" si="21"/>
        <v>1.4000000000000001</v>
      </c>
      <c r="J91" s="226">
        <f t="shared" si="22"/>
        <v>0.70000000000000007</v>
      </c>
      <c r="K91" s="147">
        <f t="shared" si="23"/>
        <v>16.100000000000001</v>
      </c>
      <c r="L91" s="225">
        <f>ROUND(H91*Inputs!$G$82+I91*Inputs!$G$84+J91*Inputs!$G$83,0)</f>
        <v>1594</v>
      </c>
      <c r="M91" s="225">
        <f t="shared" si="24"/>
        <v>0</v>
      </c>
    </row>
    <row r="92" spans="2:13" x14ac:dyDescent="0.2">
      <c r="B92" s="168" t="s">
        <v>218</v>
      </c>
      <c r="C92" s="20">
        <v>75</v>
      </c>
      <c r="D92" s="102">
        <v>0</v>
      </c>
      <c r="E92" s="20">
        <v>1</v>
      </c>
      <c r="F92" s="20">
        <f t="shared" si="25"/>
        <v>75</v>
      </c>
      <c r="G92" s="145">
        <f>G64</f>
        <v>140</v>
      </c>
      <c r="H92" s="145">
        <f t="shared" si="20"/>
        <v>10500</v>
      </c>
      <c r="I92" s="145">
        <f t="shared" si="21"/>
        <v>1050</v>
      </c>
      <c r="J92" s="145">
        <f t="shared" si="22"/>
        <v>525</v>
      </c>
      <c r="K92" s="147">
        <f t="shared" si="23"/>
        <v>12075</v>
      </c>
      <c r="L92" s="102">
        <f>ROUND(H92*Inputs!$G$82+I92*Inputs!$G$84+J92*Inputs!$G$83,0)</f>
        <v>1195152</v>
      </c>
      <c r="M92" s="102">
        <f t="shared" si="24"/>
        <v>0</v>
      </c>
    </row>
    <row r="93" spans="2:13" x14ac:dyDescent="0.2">
      <c r="B93" s="168" t="s">
        <v>219</v>
      </c>
      <c r="C93" s="20">
        <v>3</v>
      </c>
      <c r="D93" s="102">
        <v>0</v>
      </c>
      <c r="E93" s="20">
        <v>1</v>
      </c>
      <c r="F93" s="145">
        <f t="shared" si="25"/>
        <v>3</v>
      </c>
      <c r="G93" s="145">
        <f>G69</f>
        <v>140</v>
      </c>
      <c r="H93" s="145">
        <f t="shared" si="20"/>
        <v>420</v>
      </c>
      <c r="I93" s="145">
        <f t="shared" si="21"/>
        <v>42</v>
      </c>
      <c r="J93" s="145">
        <f t="shared" si="22"/>
        <v>21</v>
      </c>
      <c r="K93" s="145">
        <f t="shared" si="23"/>
        <v>483</v>
      </c>
      <c r="L93" s="102">
        <f>ROUND(H93*Inputs!$G$82+I93*Inputs!$G$84+J93*Inputs!$G$83,0)</f>
        <v>47806</v>
      </c>
      <c r="M93" s="102">
        <f t="shared" si="24"/>
        <v>0</v>
      </c>
    </row>
    <row r="94" spans="2:13" ht="33.75" x14ac:dyDescent="0.2">
      <c r="B94" s="166" t="s">
        <v>271</v>
      </c>
      <c r="C94" s="20">
        <v>1</v>
      </c>
      <c r="D94" s="102">
        <v>0</v>
      </c>
      <c r="E94" s="20">
        <v>1</v>
      </c>
      <c r="F94" s="145">
        <f t="shared" si="25"/>
        <v>1</v>
      </c>
      <c r="G94" s="145">
        <f>G70</f>
        <v>2</v>
      </c>
      <c r="H94" s="145">
        <f t="shared" si="20"/>
        <v>2</v>
      </c>
      <c r="I94" s="145">
        <f t="shared" si="21"/>
        <v>0.2</v>
      </c>
      <c r="J94" s="145">
        <f t="shared" si="22"/>
        <v>0.1</v>
      </c>
      <c r="K94" s="145">
        <f t="shared" si="23"/>
        <v>2.3000000000000003</v>
      </c>
      <c r="L94" s="102">
        <f>ROUND(H94*Inputs!$G$82+I94*Inputs!$G$84+J94*Inputs!$G$83,0)</f>
        <v>228</v>
      </c>
      <c r="M94" s="102">
        <f t="shared" si="24"/>
        <v>0</v>
      </c>
    </row>
    <row r="95" spans="2:13" x14ac:dyDescent="0.2">
      <c r="B95" s="168" t="s">
        <v>272</v>
      </c>
      <c r="C95" s="20">
        <v>1</v>
      </c>
      <c r="D95" s="102">
        <v>0</v>
      </c>
      <c r="E95" s="20">
        <v>1</v>
      </c>
      <c r="F95" s="145">
        <f t="shared" si="25"/>
        <v>1</v>
      </c>
      <c r="G95" s="145">
        <f>G28</f>
        <v>21</v>
      </c>
      <c r="H95" s="145">
        <f t="shared" si="20"/>
        <v>21</v>
      </c>
      <c r="I95" s="145">
        <f t="shared" si="21"/>
        <v>2.1</v>
      </c>
      <c r="J95" s="145">
        <f t="shared" si="22"/>
        <v>1.05</v>
      </c>
      <c r="K95" s="145">
        <f t="shared" si="23"/>
        <v>24.150000000000002</v>
      </c>
      <c r="L95" s="102">
        <f>ROUND(H95*Inputs!$G$82+I95*Inputs!$G$84+J95*Inputs!$G$83,0)</f>
        <v>2390</v>
      </c>
      <c r="M95" s="102">
        <f t="shared" si="24"/>
        <v>0</v>
      </c>
    </row>
    <row r="96" spans="2:13" x14ac:dyDescent="0.2">
      <c r="B96" s="168" t="s">
        <v>220</v>
      </c>
      <c r="C96" s="20">
        <v>2</v>
      </c>
      <c r="D96" s="102">
        <v>0</v>
      </c>
      <c r="E96" s="20">
        <v>1</v>
      </c>
      <c r="F96" s="145">
        <f t="shared" si="25"/>
        <v>2</v>
      </c>
      <c r="G96" s="145">
        <f>G71</f>
        <v>140</v>
      </c>
      <c r="H96" s="145">
        <f t="shared" si="20"/>
        <v>280</v>
      </c>
      <c r="I96" s="145">
        <f t="shared" si="21"/>
        <v>28</v>
      </c>
      <c r="J96" s="145">
        <f t="shared" si="22"/>
        <v>14</v>
      </c>
      <c r="K96" s="145">
        <f t="shared" si="23"/>
        <v>322</v>
      </c>
      <c r="L96" s="102">
        <f>ROUND(H96*Inputs!$G$82+I96*Inputs!$G$84+J96*Inputs!$G$83,0)</f>
        <v>31871</v>
      </c>
      <c r="M96" s="102">
        <f t="shared" si="24"/>
        <v>0</v>
      </c>
    </row>
    <row r="97" spans="2:15" x14ac:dyDescent="0.2">
      <c r="B97" s="168" t="s">
        <v>273</v>
      </c>
      <c r="C97" s="20">
        <v>10</v>
      </c>
      <c r="D97" s="102">
        <v>0</v>
      </c>
      <c r="E97" s="20">
        <v>1</v>
      </c>
      <c r="F97" s="20">
        <f t="shared" si="25"/>
        <v>10</v>
      </c>
      <c r="G97" s="145">
        <f>G73</f>
        <v>17</v>
      </c>
      <c r="H97" s="145">
        <f t="shared" si="20"/>
        <v>170</v>
      </c>
      <c r="I97" s="145">
        <f t="shared" si="21"/>
        <v>17</v>
      </c>
      <c r="J97" s="145">
        <f t="shared" si="22"/>
        <v>8.5</v>
      </c>
      <c r="K97" s="147">
        <f t="shared" si="23"/>
        <v>195.5</v>
      </c>
      <c r="L97" s="102">
        <f>ROUND(H97*Inputs!$G$82+I97*Inputs!$G$84+J97*Inputs!$G$83,0)</f>
        <v>19350</v>
      </c>
      <c r="M97" s="102">
        <f t="shared" si="24"/>
        <v>0</v>
      </c>
    </row>
    <row r="98" spans="2:15" ht="21.6" customHeight="1" x14ac:dyDescent="0.2">
      <c r="B98" s="166" t="s">
        <v>274</v>
      </c>
      <c r="C98" s="20">
        <v>10</v>
      </c>
      <c r="D98" s="102">
        <v>0</v>
      </c>
      <c r="E98" s="20">
        <v>1</v>
      </c>
      <c r="F98" s="20">
        <f t="shared" si="25"/>
        <v>10</v>
      </c>
      <c r="G98" s="145">
        <f>G74</f>
        <v>17</v>
      </c>
      <c r="H98" s="145">
        <f t="shared" si="20"/>
        <v>170</v>
      </c>
      <c r="I98" s="145">
        <f t="shared" si="21"/>
        <v>17</v>
      </c>
      <c r="J98" s="145">
        <f t="shared" si="22"/>
        <v>8.5</v>
      </c>
      <c r="K98" s="147">
        <f t="shared" si="23"/>
        <v>195.5</v>
      </c>
      <c r="L98" s="102">
        <f>ROUND(H98*Inputs!$G$82+I98*Inputs!$G$84+J98*Inputs!$G$83,0)</f>
        <v>19350</v>
      </c>
      <c r="M98" s="102">
        <f t="shared" si="24"/>
        <v>0</v>
      </c>
    </row>
    <row r="99" spans="2:15" ht="22.5" x14ac:dyDescent="0.2">
      <c r="B99" s="166" t="s">
        <v>276</v>
      </c>
      <c r="C99" s="20">
        <v>0.4</v>
      </c>
      <c r="D99" s="102">
        <v>0</v>
      </c>
      <c r="E99" s="20">
        <v>365</v>
      </c>
      <c r="F99" s="20">
        <f t="shared" si="25"/>
        <v>146</v>
      </c>
      <c r="G99" s="145">
        <f>G78</f>
        <v>126</v>
      </c>
      <c r="H99" s="145">
        <f t="shared" si="20"/>
        <v>18396</v>
      </c>
      <c r="I99" s="145">
        <f t="shared" si="21"/>
        <v>1839.6000000000001</v>
      </c>
      <c r="J99" s="145">
        <f t="shared" si="22"/>
        <v>919.80000000000007</v>
      </c>
      <c r="K99" s="147">
        <f t="shared" si="23"/>
        <v>21155.399999999998</v>
      </c>
      <c r="L99" s="102">
        <f>ROUND(H99*Inputs!$G$82+I99*Inputs!$G$84+J99*Inputs!$G$83,0)</f>
        <v>2093906</v>
      </c>
      <c r="M99" s="102">
        <f t="shared" si="24"/>
        <v>0</v>
      </c>
    </row>
    <row r="100" spans="2:15" x14ac:dyDescent="0.2">
      <c r="B100" s="168" t="s">
        <v>277</v>
      </c>
      <c r="C100" s="20">
        <v>1</v>
      </c>
      <c r="D100" s="102">
        <v>0</v>
      </c>
      <c r="E100" s="20">
        <v>365</v>
      </c>
      <c r="F100" s="20">
        <f t="shared" si="25"/>
        <v>365</v>
      </c>
      <c r="G100" s="145">
        <f>G78</f>
        <v>126</v>
      </c>
      <c r="H100" s="145">
        <f t="shared" si="20"/>
        <v>45990</v>
      </c>
      <c r="I100" s="145">
        <f t="shared" si="21"/>
        <v>4599</v>
      </c>
      <c r="J100" s="145">
        <f t="shared" si="22"/>
        <v>2299.5</v>
      </c>
      <c r="K100" s="147">
        <f t="shared" si="23"/>
        <v>52888.5</v>
      </c>
      <c r="L100" s="102">
        <f>ROUND(H100*Inputs!$G$82+I100*Inputs!$G$84+J100*Inputs!$G$83,0)</f>
        <v>5234766</v>
      </c>
      <c r="M100" s="102">
        <f t="shared" si="24"/>
        <v>0</v>
      </c>
    </row>
    <row r="101" spans="2:15" x14ac:dyDescent="0.2">
      <c r="B101" s="165" t="s">
        <v>266</v>
      </c>
      <c r="C101" s="20">
        <v>16</v>
      </c>
      <c r="D101" s="102">
        <v>0</v>
      </c>
      <c r="E101" s="20">
        <v>1</v>
      </c>
      <c r="F101" s="20">
        <f t="shared" si="25"/>
        <v>16</v>
      </c>
      <c r="G101" s="266">
        <f>G7</f>
        <v>0.66</v>
      </c>
      <c r="H101" s="145">
        <f t="shared" si="20"/>
        <v>10.56</v>
      </c>
      <c r="I101" s="145">
        <f t="shared" si="21"/>
        <v>1.056</v>
      </c>
      <c r="J101" s="145">
        <f t="shared" si="22"/>
        <v>0.52800000000000002</v>
      </c>
      <c r="K101" s="147">
        <f t="shared" si="23"/>
        <v>12.144</v>
      </c>
      <c r="L101" s="102">
        <f>ROUND(H101*Inputs!$G$82+I101*Inputs!$G$84+J101*Inputs!$G$83,0)</f>
        <v>1202</v>
      </c>
      <c r="M101" s="102">
        <f t="shared" si="24"/>
        <v>0</v>
      </c>
    </row>
    <row r="102" spans="2:15" x14ac:dyDescent="0.2">
      <c r="B102" s="165" t="s">
        <v>69</v>
      </c>
      <c r="C102" s="20" t="s">
        <v>58</v>
      </c>
      <c r="D102" s="102"/>
      <c r="E102" s="20"/>
      <c r="F102" s="20"/>
      <c r="G102" s="20"/>
      <c r="H102" s="145"/>
      <c r="I102" s="145"/>
      <c r="J102" s="145"/>
      <c r="K102" s="145"/>
      <c r="L102" s="102"/>
      <c r="M102" s="102"/>
    </row>
    <row r="103" spans="2:15" ht="12" thickBot="1" x14ac:dyDescent="0.25">
      <c r="B103" s="177" t="s">
        <v>56</v>
      </c>
      <c r="C103" s="178"/>
      <c r="D103" s="178"/>
      <c r="E103" s="178"/>
      <c r="F103" s="178"/>
      <c r="G103" s="178"/>
      <c r="H103" s="212">
        <f t="shared" ref="H103:M103" si="26">SUM(H85:H101)</f>
        <v>98061.56</v>
      </c>
      <c r="I103" s="212">
        <f t="shared" si="26"/>
        <v>9806.1560000000009</v>
      </c>
      <c r="J103" s="212">
        <f t="shared" si="26"/>
        <v>4903.0780000000004</v>
      </c>
      <c r="K103" s="212">
        <f t="shared" si="26"/>
        <v>112770.79400000001</v>
      </c>
      <c r="L103" s="213">
        <f t="shared" si="26"/>
        <v>11161760</v>
      </c>
      <c r="M103" s="213">
        <f t="shared" si="26"/>
        <v>0</v>
      </c>
    </row>
    <row r="104" spans="2:15" s="142" customFormat="1" ht="13.5" customHeight="1" thickTop="1" x14ac:dyDescent="0.25">
      <c r="B104" s="175" t="s">
        <v>31</v>
      </c>
      <c r="C104" s="176"/>
      <c r="D104" s="176"/>
      <c r="E104" s="176"/>
      <c r="F104" s="176"/>
      <c r="G104" s="176"/>
      <c r="H104" s="214">
        <f t="shared" ref="H104:M104" si="27">H103+H79</f>
        <v>116847.4</v>
      </c>
      <c r="I104" s="214">
        <f t="shared" si="27"/>
        <v>11684.740000000002</v>
      </c>
      <c r="J104" s="214">
        <f t="shared" si="27"/>
        <v>5842.3700000000008</v>
      </c>
      <c r="K104" s="214">
        <f t="shared" si="27"/>
        <v>134374.51</v>
      </c>
      <c r="L104" s="215">
        <f t="shared" si="27"/>
        <v>13300039</v>
      </c>
      <c r="M104" s="215">
        <f t="shared" si="27"/>
        <v>108805563</v>
      </c>
      <c r="O104" s="143"/>
    </row>
    <row r="105" spans="2:15" ht="7.5" customHeight="1" x14ac:dyDescent="0.2">
      <c r="B105" s="170"/>
      <c r="G105" s="11"/>
      <c r="H105" s="9"/>
      <c r="I105" s="10"/>
      <c r="J105" s="10"/>
      <c r="K105" s="12"/>
      <c r="L105" s="12"/>
      <c r="M105" s="12"/>
    </row>
    <row r="106" spans="2:15" x14ac:dyDescent="0.2">
      <c r="B106" s="170"/>
      <c r="G106" s="9"/>
      <c r="H106" s="9"/>
      <c r="I106" s="10"/>
      <c r="J106" s="135" t="s">
        <v>51</v>
      </c>
      <c r="K106" s="135" t="s">
        <v>70</v>
      </c>
      <c r="L106" s="146" t="s">
        <v>71</v>
      </c>
      <c r="M106" s="146" t="s">
        <v>43</v>
      </c>
    </row>
    <row r="107" spans="2:15" x14ac:dyDescent="0.2">
      <c r="B107" s="170"/>
      <c r="G107" s="136" t="s">
        <v>72</v>
      </c>
      <c r="H107" s="137"/>
      <c r="I107" s="141"/>
      <c r="J107" s="135">
        <f>H104+I104+J104</f>
        <v>134374.51</v>
      </c>
      <c r="K107" s="108">
        <f>L104</f>
        <v>13300039</v>
      </c>
      <c r="L107" s="108">
        <f>M104</f>
        <v>108805563</v>
      </c>
      <c r="M107" s="108">
        <f>L107+K107</f>
        <v>122105602</v>
      </c>
    </row>
    <row r="108" spans="2:15" ht="7.5" customHeight="1" x14ac:dyDescent="0.2">
      <c r="B108" s="170"/>
      <c r="G108" s="11"/>
      <c r="H108" s="9"/>
      <c r="I108" s="10"/>
      <c r="J108" s="10"/>
      <c r="K108" s="12"/>
      <c r="L108" s="12"/>
      <c r="M108" s="12"/>
    </row>
    <row r="109" spans="2:15" x14ac:dyDescent="0.2">
      <c r="B109" s="170"/>
      <c r="G109" s="136" t="s">
        <v>73</v>
      </c>
      <c r="H109" s="137"/>
      <c r="I109" s="138"/>
      <c r="J109" s="138"/>
      <c r="K109" s="139"/>
      <c r="L109" s="140"/>
      <c r="M109" s="108">
        <f>L7++M10+M13+M16+M40+M43</f>
        <v>230865877</v>
      </c>
    </row>
    <row r="110" spans="2:15" x14ac:dyDescent="0.2">
      <c r="B110" s="171"/>
      <c r="C110" s="172"/>
      <c r="D110" s="172"/>
      <c r="E110" s="172"/>
      <c r="F110" s="172"/>
      <c r="G110" s="136" t="s">
        <v>74</v>
      </c>
      <c r="H110" s="173"/>
      <c r="I110" s="173"/>
      <c r="J110" s="173"/>
      <c r="K110" s="139"/>
      <c r="L110" s="174"/>
      <c r="M110" s="108">
        <f>M104</f>
        <v>108805563</v>
      </c>
    </row>
    <row r="111" spans="2:15" ht="8.25" customHeight="1" x14ac:dyDescent="0.2"/>
    <row r="112" spans="2:15" x14ac:dyDescent="0.2">
      <c r="B112" s="16" t="s">
        <v>86</v>
      </c>
      <c r="L112" s="22"/>
    </row>
    <row r="113" spans="2:13" ht="24" customHeight="1" x14ac:dyDescent="0.2">
      <c r="B113" s="295" t="s">
        <v>279</v>
      </c>
      <c r="C113" s="295"/>
      <c r="D113" s="295"/>
      <c r="E113" s="295"/>
      <c r="F113" s="295"/>
      <c r="G113" s="295"/>
      <c r="H113" s="295"/>
      <c r="I113" s="295"/>
      <c r="J113" s="295"/>
      <c r="K113" s="295"/>
      <c r="L113" s="295"/>
      <c r="M113" s="295"/>
    </row>
    <row r="114" spans="2:13" ht="44.45" customHeight="1" x14ac:dyDescent="0.2">
      <c r="B114" s="295" t="s">
        <v>278</v>
      </c>
      <c r="C114" s="295"/>
      <c r="D114" s="295"/>
      <c r="E114" s="295"/>
      <c r="F114" s="295"/>
      <c r="G114" s="295"/>
      <c r="H114" s="295"/>
      <c r="I114" s="295"/>
      <c r="J114" s="295"/>
      <c r="K114" s="295"/>
      <c r="L114" s="295"/>
      <c r="M114" s="295"/>
    </row>
    <row r="115" spans="2:13" ht="12.6" customHeight="1" x14ac:dyDescent="0.2">
      <c r="B115" s="295" t="s">
        <v>280</v>
      </c>
      <c r="C115" s="295"/>
      <c r="D115" s="295"/>
      <c r="E115" s="295"/>
      <c r="F115" s="295"/>
      <c r="G115" s="295"/>
      <c r="H115" s="295"/>
      <c r="I115" s="295"/>
      <c r="J115" s="295"/>
      <c r="K115" s="295"/>
      <c r="L115" s="295"/>
      <c r="M115" s="295"/>
    </row>
    <row r="116" spans="2:13" ht="10.15" customHeight="1" x14ac:dyDescent="0.2">
      <c r="B116" s="294" t="s">
        <v>281</v>
      </c>
      <c r="C116" s="294"/>
      <c r="D116" s="294"/>
      <c r="E116" s="294"/>
      <c r="F116" s="294"/>
      <c r="G116" s="294"/>
      <c r="H116" s="294"/>
      <c r="I116" s="294"/>
      <c r="J116" s="294"/>
      <c r="K116" s="294"/>
      <c r="L116" s="294"/>
      <c r="M116" s="294"/>
    </row>
    <row r="117" spans="2:13" ht="10.15" customHeight="1" x14ac:dyDescent="0.2">
      <c r="B117" s="295" t="s">
        <v>283</v>
      </c>
      <c r="C117" s="295"/>
      <c r="D117" s="295"/>
      <c r="E117" s="295"/>
      <c r="F117" s="295"/>
      <c r="G117" s="295"/>
      <c r="H117" s="295"/>
      <c r="I117" s="295"/>
      <c r="J117" s="295"/>
      <c r="K117" s="295"/>
      <c r="L117" s="295"/>
      <c r="M117" s="295"/>
    </row>
    <row r="118" spans="2:13" ht="10.15" customHeight="1" x14ac:dyDescent="0.2">
      <c r="B118" s="295" t="s">
        <v>284</v>
      </c>
      <c r="C118" s="295"/>
      <c r="D118" s="295"/>
      <c r="E118" s="295"/>
      <c r="F118" s="295"/>
      <c r="G118" s="295"/>
      <c r="H118" s="295"/>
      <c r="I118" s="295"/>
      <c r="J118" s="295"/>
      <c r="K118" s="295"/>
      <c r="L118" s="295"/>
      <c r="M118" s="295"/>
    </row>
    <row r="119" spans="2:13" x14ac:dyDescent="0.2">
      <c r="B119" s="295" t="s">
        <v>285</v>
      </c>
      <c r="C119" s="295"/>
      <c r="D119" s="295"/>
      <c r="E119" s="295"/>
      <c r="F119" s="295"/>
      <c r="G119" s="295"/>
      <c r="H119" s="295"/>
      <c r="I119" s="295"/>
      <c r="J119" s="295"/>
      <c r="K119" s="295"/>
      <c r="L119" s="295"/>
      <c r="M119" s="295"/>
    </row>
    <row r="120" spans="2:13" ht="22.9" customHeight="1" x14ac:dyDescent="0.2">
      <c r="B120" s="295" t="s">
        <v>286</v>
      </c>
      <c r="C120" s="295"/>
      <c r="D120" s="295"/>
      <c r="E120" s="295"/>
      <c r="F120" s="295"/>
      <c r="G120" s="295"/>
      <c r="H120" s="295"/>
      <c r="I120" s="295"/>
      <c r="J120" s="295"/>
      <c r="K120" s="295"/>
      <c r="L120" s="295"/>
      <c r="M120" s="295"/>
    </row>
    <row r="121" spans="2:13" ht="11.25" customHeight="1" x14ac:dyDescent="0.2">
      <c r="B121" s="295" t="s">
        <v>287</v>
      </c>
      <c r="C121" s="295"/>
      <c r="D121" s="295"/>
      <c r="E121" s="295"/>
      <c r="F121" s="295"/>
      <c r="G121" s="295"/>
      <c r="H121" s="295"/>
      <c r="I121" s="295"/>
      <c r="J121" s="295"/>
      <c r="K121" s="295"/>
      <c r="L121" s="295"/>
      <c r="M121" s="295"/>
    </row>
    <row r="122" spans="2:13" x14ac:dyDescent="0.2">
      <c r="B122" s="294" t="s">
        <v>288</v>
      </c>
      <c r="C122" s="294"/>
      <c r="D122" s="294"/>
      <c r="E122" s="294"/>
      <c r="F122" s="294"/>
      <c r="G122" s="294"/>
      <c r="H122" s="294"/>
      <c r="I122" s="294"/>
      <c r="J122" s="294"/>
      <c r="K122" s="294"/>
      <c r="L122" s="294"/>
      <c r="M122" s="294"/>
    </row>
    <row r="123" spans="2:13" x14ac:dyDescent="0.2">
      <c r="B123" s="292" t="s">
        <v>289</v>
      </c>
      <c r="C123" s="292"/>
      <c r="D123" s="292"/>
      <c r="E123" s="292"/>
      <c r="F123" s="292"/>
      <c r="G123" s="292"/>
      <c r="H123" s="292"/>
      <c r="I123" s="292"/>
      <c r="J123" s="292"/>
      <c r="K123" s="292"/>
      <c r="L123" s="292"/>
      <c r="M123" s="292"/>
    </row>
  </sheetData>
  <sheetProtection algorithmName="SHA-512" hashValue="L2lUCOtlmbvBhKGZB0VVZW687drAsHyO6yXVHlgk7ncVmY8EWzCgueQfU2YrbKwBTZTbT+tF4uecMd0oyxlnhw==" saltValue="+c0Cstht59t6WsTQVlC4SQ==" spinCount="100000" sheet="1" objects="1" scenarios="1"/>
  <mergeCells count="12">
    <mergeCell ref="B118:M118"/>
    <mergeCell ref="B2:M2"/>
    <mergeCell ref="B114:M114"/>
    <mergeCell ref="B115:M115"/>
    <mergeCell ref="B116:M116"/>
    <mergeCell ref="B117:M117"/>
    <mergeCell ref="B113:M113"/>
    <mergeCell ref="B119:M119"/>
    <mergeCell ref="B120:M120"/>
    <mergeCell ref="B121:M121"/>
    <mergeCell ref="B122:M122"/>
    <mergeCell ref="B123:M123"/>
  </mergeCells>
  <printOptions horizontalCentered="1"/>
  <pageMargins left="0.5" right="0.5" top="0.5" bottom="0.5" header="0.3" footer="0.3"/>
  <pageSetup scale="86" fitToHeight="2" orientation="landscape" r:id="rId1"/>
  <rowBreaks count="1" manualBreakCount="1">
    <brk id="79"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O15"/>
  <sheetViews>
    <sheetView tabSelected="1" zoomScaleNormal="100" workbookViewId="0">
      <selection activeCell="F17" sqref="F17"/>
    </sheetView>
  </sheetViews>
  <sheetFormatPr defaultColWidth="9.140625" defaultRowHeight="14.25" x14ac:dyDescent="0.2"/>
  <cols>
    <col min="1" max="1" width="3.28515625" style="24" customWidth="1"/>
    <col min="2" max="2" width="13.28515625" style="24" customWidth="1"/>
    <col min="3" max="3" width="13.42578125" style="24" customWidth="1"/>
    <col min="4" max="4" width="12.42578125" style="24" customWidth="1"/>
    <col min="5" max="5" width="12.7109375" style="24" customWidth="1"/>
    <col min="6" max="6" width="13.5703125" style="24" customWidth="1"/>
    <col min="7" max="7" width="13.28515625" style="24" customWidth="1"/>
    <col min="8" max="8" width="22.28515625" style="24" customWidth="1"/>
    <col min="9" max="9" width="13" style="24" customWidth="1"/>
    <col min="10" max="10" width="9.140625" style="24"/>
    <col min="11" max="11" width="12.85546875" style="24" customWidth="1"/>
    <col min="12" max="16384" width="9.140625" style="24"/>
  </cols>
  <sheetData>
    <row r="1" spans="2:15" ht="39.75" customHeight="1" x14ac:dyDescent="0.25">
      <c r="B1" s="297" t="s">
        <v>309</v>
      </c>
      <c r="C1" s="297"/>
      <c r="D1" s="297"/>
      <c r="E1" s="297"/>
      <c r="F1" s="297"/>
      <c r="G1" s="297"/>
      <c r="H1" s="297"/>
      <c r="I1" s="297"/>
      <c r="J1" s="23"/>
      <c r="K1" s="23"/>
      <c r="L1" s="23"/>
      <c r="M1" s="23"/>
      <c r="N1" s="23"/>
      <c r="O1" s="23"/>
    </row>
    <row r="2" spans="2:15" ht="40.5" customHeight="1" thickBot="1" x14ac:dyDescent="0.25">
      <c r="B2" s="179" t="s">
        <v>35</v>
      </c>
      <c r="C2" s="180" t="s">
        <v>36</v>
      </c>
      <c r="D2" s="180" t="s">
        <v>38</v>
      </c>
      <c r="E2" s="180" t="s">
        <v>37</v>
      </c>
      <c r="F2" s="180" t="s">
        <v>39</v>
      </c>
      <c r="G2" s="180" t="s">
        <v>40</v>
      </c>
      <c r="H2" s="180" t="s">
        <v>41</v>
      </c>
      <c r="I2" s="180" t="s">
        <v>42</v>
      </c>
    </row>
    <row r="3" spans="2:15" ht="15" thickTop="1" x14ac:dyDescent="0.2">
      <c r="B3" s="181">
        <v>1</v>
      </c>
      <c r="C3" s="2">
        <f>'YR1'!H104</f>
        <v>8890.5000000000018</v>
      </c>
      <c r="D3" s="2">
        <f>'YR1'!I104</f>
        <v>889.05000000000018</v>
      </c>
      <c r="E3" s="2">
        <f>'YR1'!J104</f>
        <v>444.52500000000009</v>
      </c>
      <c r="F3" s="2">
        <f>SUM(C3:E3)</f>
        <v>10224.075000000003</v>
      </c>
      <c r="G3" s="3">
        <f>'YR1'!L104</f>
        <v>1011951</v>
      </c>
      <c r="H3" s="3">
        <f>'YR1'!M104</f>
        <v>670614.77999999991</v>
      </c>
      <c r="I3" s="3">
        <f>+G3+H3</f>
        <v>1682565.7799999998</v>
      </c>
    </row>
    <row r="4" spans="2:15" x14ac:dyDescent="0.2">
      <c r="B4" s="182">
        <v>2</v>
      </c>
      <c r="C4" s="4">
        <f>'YR2'!H104</f>
        <v>92247.949999999983</v>
      </c>
      <c r="D4" s="4">
        <f>'YR2'!I104</f>
        <v>9224.7950000000001</v>
      </c>
      <c r="E4" s="4">
        <f>'YR2'!J104</f>
        <v>4612.3975</v>
      </c>
      <c r="F4" s="4">
        <f>SUM(C4:E4)</f>
        <v>106085.14249999999</v>
      </c>
      <c r="G4" s="5">
        <f>'YR2'!L104</f>
        <v>10500027</v>
      </c>
      <c r="H4" s="5">
        <f>'YR2'!M104</f>
        <v>78504129.24000001</v>
      </c>
      <c r="I4" s="5">
        <f>+G4+H4</f>
        <v>89004156.24000001</v>
      </c>
    </row>
    <row r="5" spans="2:15" ht="15" thickBot="1" x14ac:dyDescent="0.25">
      <c r="B5" s="179">
        <v>3</v>
      </c>
      <c r="C5" s="6">
        <f>'YR3'!H104</f>
        <v>116847.4</v>
      </c>
      <c r="D5" s="6">
        <f>'YR3'!I104</f>
        <v>11684.740000000002</v>
      </c>
      <c r="E5" s="6">
        <f>'YR3'!J104</f>
        <v>5842.3700000000008</v>
      </c>
      <c r="F5" s="6">
        <f>SUM(C5:E5)</f>
        <v>134374.51</v>
      </c>
      <c r="G5" s="7">
        <f>'YR3'!L104</f>
        <v>13300039</v>
      </c>
      <c r="H5" s="7">
        <f>'YR3'!M104</f>
        <v>108805563</v>
      </c>
      <c r="I5" s="7">
        <f>+G5+H5</f>
        <v>122105602</v>
      </c>
    </row>
    <row r="6" spans="2:15" ht="15" thickTop="1" x14ac:dyDescent="0.2">
      <c r="B6" s="181" t="s">
        <v>43</v>
      </c>
      <c r="C6" s="2">
        <f t="shared" ref="C6:I6" si="0">SUM(C3:C5)</f>
        <v>217985.84999999998</v>
      </c>
      <c r="D6" s="2">
        <f t="shared" si="0"/>
        <v>21798.585000000003</v>
      </c>
      <c r="E6" s="2">
        <f t="shared" si="0"/>
        <v>10899.292500000001</v>
      </c>
      <c r="F6" s="2">
        <f>SUM(F3:F5)</f>
        <v>250683.72749999998</v>
      </c>
      <c r="G6" s="3">
        <f t="shared" si="0"/>
        <v>24812017</v>
      </c>
      <c r="H6" s="3">
        <f t="shared" si="0"/>
        <v>187980307.02000001</v>
      </c>
      <c r="I6" s="3">
        <f t="shared" si="0"/>
        <v>212792324.02000001</v>
      </c>
    </row>
    <row r="7" spans="2:15" x14ac:dyDescent="0.2">
      <c r="B7" s="182" t="s">
        <v>44</v>
      </c>
      <c r="C7" s="4">
        <f t="shared" ref="C7:I7" si="1">AVERAGE(C3:C5)</f>
        <v>72661.95</v>
      </c>
      <c r="D7" s="4">
        <f t="shared" si="1"/>
        <v>7266.1950000000006</v>
      </c>
      <c r="E7" s="4">
        <f t="shared" si="1"/>
        <v>3633.0975000000003</v>
      </c>
      <c r="F7" s="4">
        <f>AVERAGE(F3:F5)</f>
        <v>83561.242499999993</v>
      </c>
      <c r="G7" s="183">
        <f t="shared" si="1"/>
        <v>8270672.333333333</v>
      </c>
      <c r="H7" s="5">
        <f t="shared" si="1"/>
        <v>62660102.340000004</v>
      </c>
      <c r="I7" s="5">
        <f t="shared" si="1"/>
        <v>70930774.673333332</v>
      </c>
    </row>
    <row r="8" spans="2:15" x14ac:dyDescent="0.2">
      <c r="B8" s="184"/>
      <c r="C8" s="25"/>
      <c r="D8" s="25"/>
      <c r="E8" s="25"/>
      <c r="F8" s="25"/>
      <c r="G8" s="25"/>
      <c r="H8" s="25"/>
      <c r="I8" s="185"/>
    </row>
    <row r="9" spans="2:15" ht="30" hidden="1" customHeight="1" thickBot="1" x14ac:dyDescent="0.25">
      <c r="B9" s="179" t="s">
        <v>35</v>
      </c>
      <c r="C9" s="180" t="s">
        <v>100</v>
      </c>
      <c r="D9" s="180" t="s">
        <v>78</v>
      </c>
      <c r="E9" s="180" t="s">
        <v>79</v>
      </c>
      <c r="F9" s="180" t="s">
        <v>80</v>
      </c>
      <c r="G9" s="180" t="s">
        <v>51</v>
      </c>
      <c r="H9" s="186" t="s">
        <v>81</v>
      </c>
      <c r="I9" s="186" t="s">
        <v>98</v>
      </c>
    </row>
    <row r="10" spans="2:15" ht="15" hidden="1" thickTop="1" x14ac:dyDescent="0.2">
      <c r="B10" s="181">
        <v>1</v>
      </c>
      <c r="C10" s="2">
        <v>0.66</v>
      </c>
      <c r="D10" s="2" t="e">
        <f>'YR1'!#REF!</f>
        <v>#REF!</v>
      </c>
      <c r="E10" s="2">
        <f>'YR1'!H79+'YR1'!I79+'YR1'!J79</f>
        <v>5833.8810000000012</v>
      </c>
      <c r="F10" s="2">
        <f>'YR1'!H103+'YR1'!I103+'YR1'!J103</f>
        <v>4390.1939999999995</v>
      </c>
      <c r="G10" s="2">
        <f>F10+E10</f>
        <v>10224.075000000001</v>
      </c>
      <c r="H10" s="148" t="e">
        <f>G10/D10</f>
        <v>#REF!</v>
      </c>
      <c r="I10" s="88">
        <f>G10/C10</f>
        <v>15491.022727272728</v>
      </c>
    </row>
    <row r="11" spans="2:15" hidden="1" x14ac:dyDescent="0.2">
      <c r="B11" s="182">
        <v>2</v>
      </c>
      <c r="C11" s="104">
        <v>70.33</v>
      </c>
      <c r="D11" s="104" t="e">
        <f>'YR2'!#REF!</f>
        <v>#REF!</v>
      </c>
      <c r="E11" s="104">
        <f>'YR2'!H79+'YR2'!I79+'YR2'!J79</f>
        <v>12302.906999999999</v>
      </c>
      <c r="F11" s="104">
        <f>'YR2'!H103+'YR2'!I103+'YR2'!J103</f>
        <v>93782.235499999995</v>
      </c>
      <c r="G11" s="2">
        <f>F11+E11</f>
        <v>106085.14249999999</v>
      </c>
      <c r="H11" s="88" t="e">
        <f>G11/D11</f>
        <v>#REF!</v>
      </c>
      <c r="I11" s="88">
        <f>G11/C11</f>
        <v>1508.3910493388312</v>
      </c>
    </row>
    <row r="12" spans="2:15" ht="15" hidden="1" thickBot="1" x14ac:dyDescent="0.25">
      <c r="B12" s="179">
        <v>3</v>
      </c>
      <c r="C12" s="89">
        <v>140</v>
      </c>
      <c r="D12" s="89" t="e">
        <f>'YR3'!#REF!</f>
        <v>#REF!</v>
      </c>
      <c r="E12" s="89">
        <f>'YR3'!H79+'YR3'!I79+'YR3'!J79</f>
        <v>21603.716</v>
      </c>
      <c r="F12" s="89">
        <f>'YR3'!H103+'YR3'!I103+'YR3'!J103</f>
        <v>112770.79399999999</v>
      </c>
      <c r="G12" s="6">
        <f>F12+E12</f>
        <v>134374.51</v>
      </c>
      <c r="H12" s="89" t="e">
        <f>G12/D12</f>
        <v>#REF!</v>
      </c>
      <c r="I12" s="89">
        <f>G12/C12</f>
        <v>959.81792857142864</v>
      </c>
    </row>
    <row r="13" spans="2:15" ht="15" hidden="1" thickTop="1" x14ac:dyDescent="0.2">
      <c r="B13" s="181" t="s">
        <v>43</v>
      </c>
      <c r="C13" s="2">
        <f>SUM(C10:C12)</f>
        <v>210.99</v>
      </c>
      <c r="D13" s="2" t="e">
        <f>SUM(D10:D12)</f>
        <v>#REF!</v>
      </c>
      <c r="E13" s="2">
        <f t="shared" ref="E13:G13" si="2">SUM(E10:E12)</f>
        <v>39740.504000000001</v>
      </c>
      <c r="F13" s="2">
        <f t="shared" si="2"/>
        <v>210943.22349999999</v>
      </c>
      <c r="G13" s="2">
        <f t="shared" si="2"/>
        <v>250683.72749999998</v>
      </c>
      <c r="H13" s="88" t="e">
        <f>G13/D13</f>
        <v>#REF!</v>
      </c>
      <c r="I13" s="88">
        <f>G13/4</f>
        <v>62670.931874999995</v>
      </c>
    </row>
    <row r="14" spans="2:15" hidden="1" x14ac:dyDescent="0.2">
      <c r="B14" s="182" t="s">
        <v>44</v>
      </c>
      <c r="C14" s="4">
        <f>AVERAGE(C10:C12)</f>
        <v>70.33</v>
      </c>
      <c r="D14" s="4" t="e">
        <f>AVERAGE(D10:D12)</f>
        <v>#REF!</v>
      </c>
      <c r="E14" s="4">
        <f t="shared" ref="E14:G14" si="3">AVERAGE(E10:E12)</f>
        <v>13246.834666666668</v>
      </c>
      <c r="F14" s="4">
        <f t="shared" si="3"/>
        <v>70314.407833333331</v>
      </c>
      <c r="G14" s="4">
        <f t="shared" si="3"/>
        <v>83561.242499999993</v>
      </c>
      <c r="H14" s="104" t="e">
        <f>G14/D14</f>
        <v>#REF!</v>
      </c>
      <c r="I14" s="104">
        <f>G14/4</f>
        <v>20890.310624999998</v>
      </c>
    </row>
    <row r="15" spans="2:15" x14ac:dyDescent="0.2">
      <c r="G15" s="90"/>
    </row>
  </sheetData>
  <sheetProtection algorithmName="SHA-512" hashValue="4atE2S1acxFRfkppInB2gQaDsdTE1HRo0tDTN1t1AbVfeiG33MB1YxP5YKVgN9XOrVLmzbHI5KU+3Q3oihLFYA==" saltValue="l9Qc/ugsemkNRU1TuaeeCQ==" spinCount="100000" sheet="1" objects="1" scenarios="1"/>
  <mergeCells count="1">
    <mergeCell ref="B1:I1"/>
  </mergeCells>
  <printOptions horizontalCentered="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X67"/>
  <sheetViews>
    <sheetView zoomScaleNormal="100" workbookViewId="0"/>
  </sheetViews>
  <sheetFormatPr defaultColWidth="9.140625" defaultRowHeight="14.25" x14ac:dyDescent="0.2"/>
  <cols>
    <col min="1" max="1" width="4.140625" style="24" customWidth="1"/>
    <col min="2" max="4" width="3.140625" style="13" customWidth="1"/>
    <col min="5" max="5" width="31.28515625" style="13" customWidth="1"/>
    <col min="6" max="8" width="11.28515625" style="13" customWidth="1"/>
    <col min="9" max="9" width="11.5703125" style="13" bestFit="1" customWidth="1"/>
    <col min="10" max="10" width="10.42578125" style="13" bestFit="1" customWidth="1"/>
    <col min="11" max="11" width="10.140625" style="13" bestFit="1" customWidth="1"/>
    <col min="12" max="12" width="8.42578125" style="13" bestFit="1" customWidth="1"/>
    <col min="13" max="13" width="3.85546875" style="24" customWidth="1"/>
    <col min="14" max="16384" width="9.140625" style="24"/>
  </cols>
  <sheetData>
    <row r="2" spans="2:12" ht="15" x14ac:dyDescent="0.25">
      <c r="B2" s="307" t="s">
        <v>306</v>
      </c>
      <c r="C2" s="307"/>
      <c r="D2" s="307"/>
      <c r="E2" s="307"/>
      <c r="F2" s="307"/>
      <c r="G2" s="307"/>
      <c r="H2" s="307"/>
      <c r="I2" s="307"/>
      <c r="J2" s="307"/>
      <c r="K2" s="307"/>
      <c r="L2" s="307"/>
    </row>
    <row r="3" spans="2:12" x14ac:dyDescent="0.2">
      <c r="B3" s="187"/>
      <c r="C3" s="188"/>
      <c r="D3" s="188"/>
      <c r="E3" s="188"/>
      <c r="F3" s="189" t="s">
        <v>4</v>
      </c>
      <c r="G3" s="190" t="s">
        <v>5</v>
      </c>
      <c r="H3" s="191" t="s">
        <v>6</v>
      </c>
      <c r="I3" s="191" t="s">
        <v>7</v>
      </c>
      <c r="J3" s="191" t="s">
        <v>8</v>
      </c>
      <c r="K3" s="192" t="s">
        <v>9</v>
      </c>
      <c r="L3" s="192" t="s">
        <v>103</v>
      </c>
    </row>
    <row r="4" spans="2:12" ht="48.75" thickBot="1" x14ac:dyDescent="0.25">
      <c r="B4" s="308" t="s">
        <v>2</v>
      </c>
      <c r="C4" s="309"/>
      <c r="D4" s="309"/>
      <c r="E4" s="309"/>
      <c r="F4" s="105" t="s">
        <v>10</v>
      </c>
      <c r="G4" s="106" t="s">
        <v>101</v>
      </c>
      <c r="H4" s="107" t="s">
        <v>87</v>
      </c>
      <c r="I4" s="107" t="s">
        <v>88</v>
      </c>
      <c r="J4" s="107" t="s">
        <v>89</v>
      </c>
      <c r="K4" s="107" t="s">
        <v>102</v>
      </c>
      <c r="L4" s="107" t="s">
        <v>303</v>
      </c>
    </row>
    <row r="5" spans="2:12" ht="12" customHeight="1" thickTop="1" x14ac:dyDescent="0.2">
      <c r="B5" s="193" t="s">
        <v>11</v>
      </c>
      <c r="C5" s="27" t="s">
        <v>12</v>
      </c>
      <c r="D5" s="28"/>
      <c r="E5" s="28"/>
      <c r="F5" s="310" t="s">
        <v>13</v>
      </c>
      <c r="G5" s="311"/>
      <c r="H5" s="311"/>
      <c r="I5" s="311"/>
      <c r="J5" s="311"/>
      <c r="K5" s="311"/>
      <c r="L5" s="311"/>
    </row>
    <row r="6" spans="2:12" ht="12" customHeight="1" x14ac:dyDescent="0.2">
      <c r="B6" s="194" t="s">
        <v>14</v>
      </c>
      <c r="C6" s="312" t="s">
        <v>302</v>
      </c>
      <c r="D6" s="312"/>
      <c r="E6" s="312"/>
      <c r="F6" s="149">
        <v>45</v>
      </c>
      <c r="G6" s="110">
        <v>24</v>
      </c>
      <c r="H6" s="110">
        <f>(F6*G6)</f>
        <v>1080</v>
      </c>
      <c r="I6" s="110">
        <f>H6*0.05</f>
        <v>54</v>
      </c>
      <c r="J6" s="110">
        <f>H6*0.1</f>
        <v>108</v>
      </c>
      <c r="K6" s="110">
        <f>SUM(H6:J6)</f>
        <v>1242</v>
      </c>
      <c r="L6" s="111">
        <f>H6*Inputs!$D$90+I6*Inputs!$D$91+J6*Inputs!$D$92</f>
        <v>62053.344000000012</v>
      </c>
    </row>
    <row r="7" spans="2:12" ht="12" customHeight="1" x14ac:dyDescent="0.2">
      <c r="B7" s="195" t="s">
        <v>15</v>
      </c>
      <c r="C7" s="29" t="s">
        <v>16</v>
      </c>
      <c r="D7" s="29"/>
      <c r="E7" s="29"/>
      <c r="F7" s="299"/>
      <c r="G7" s="300"/>
      <c r="H7" s="300"/>
      <c r="I7" s="300"/>
      <c r="J7" s="300"/>
      <c r="K7" s="300"/>
      <c r="L7" s="300"/>
    </row>
    <row r="8" spans="2:12" ht="12" customHeight="1" x14ac:dyDescent="0.2">
      <c r="B8" s="196">
        <v>0.08</v>
      </c>
      <c r="C8" s="30" t="s">
        <v>17</v>
      </c>
      <c r="D8" s="305" t="s">
        <v>18</v>
      </c>
      <c r="E8" s="306"/>
      <c r="F8" s="112">
        <f>'YR1'!G19+'YR1'!G28+'YR1'!G43</f>
        <v>1.32</v>
      </c>
      <c r="G8" s="113">
        <v>16</v>
      </c>
      <c r="H8" s="114">
        <f>(F8*G8)</f>
        <v>21.12</v>
      </c>
      <c r="I8" s="114">
        <f>H8*0.05</f>
        <v>1.056</v>
      </c>
      <c r="J8" s="114">
        <f>H8*0.1</f>
        <v>2.1120000000000001</v>
      </c>
      <c r="K8" s="110">
        <f>SUM(H8:J8)</f>
        <v>24.288000000000004</v>
      </c>
      <c r="L8" s="111">
        <f>H8*Inputs!$D$90+I8*Inputs!$D$91+J8*Inputs!$D$92</f>
        <v>1213.4876160000001</v>
      </c>
    </row>
    <row r="9" spans="2:12" ht="12" customHeight="1" x14ac:dyDescent="0.2">
      <c r="B9" s="197">
        <f>0.1*0.1</f>
        <v>1.0000000000000002E-2</v>
      </c>
      <c r="C9" s="31" t="s">
        <v>19</v>
      </c>
      <c r="D9" s="32" t="s">
        <v>20</v>
      </c>
      <c r="E9" s="32"/>
      <c r="F9" s="150">
        <v>0</v>
      </c>
      <c r="G9" s="115">
        <v>24</v>
      </c>
      <c r="H9" s="116">
        <f>(F9*G9)</f>
        <v>0</v>
      </c>
      <c r="I9" s="116">
        <f>H9*0.05</f>
        <v>0</v>
      </c>
      <c r="J9" s="116">
        <f>H9*0.1</f>
        <v>0</v>
      </c>
      <c r="K9" s="110">
        <f>SUM(H9:J9)</f>
        <v>0</v>
      </c>
      <c r="L9" s="111">
        <f>H9*Inputs!$D$90+I9*Inputs!$D$91+J9*Inputs!$D$92</f>
        <v>0</v>
      </c>
    </row>
    <row r="10" spans="2:12" ht="12" customHeight="1" x14ac:dyDescent="0.2">
      <c r="B10" s="197"/>
      <c r="C10" s="33" t="s">
        <v>21</v>
      </c>
      <c r="D10" s="27" t="s">
        <v>22</v>
      </c>
      <c r="E10" s="27"/>
      <c r="F10" s="299" t="s">
        <v>13</v>
      </c>
      <c r="G10" s="300"/>
      <c r="H10" s="300"/>
      <c r="I10" s="300"/>
      <c r="J10" s="300"/>
      <c r="K10" s="300"/>
      <c r="L10" s="300"/>
    </row>
    <row r="11" spans="2:12" ht="12" customHeight="1" x14ac:dyDescent="0.2">
      <c r="B11" s="196"/>
      <c r="C11" s="34" t="s">
        <v>23</v>
      </c>
      <c r="D11" s="35" t="s">
        <v>24</v>
      </c>
      <c r="E11" s="35"/>
      <c r="F11" s="301" t="s">
        <v>13</v>
      </c>
      <c r="G11" s="302"/>
      <c r="H11" s="302"/>
      <c r="I11" s="302"/>
      <c r="J11" s="302"/>
      <c r="K11" s="302"/>
      <c r="L11" s="302"/>
    </row>
    <row r="12" spans="2:12" ht="12" customHeight="1" x14ac:dyDescent="0.2">
      <c r="B12" s="198"/>
      <c r="C12" s="36" t="s">
        <v>25</v>
      </c>
      <c r="D12" s="29" t="s">
        <v>26</v>
      </c>
      <c r="E12" s="29"/>
      <c r="F12" s="299"/>
      <c r="G12" s="300"/>
      <c r="H12" s="300"/>
      <c r="I12" s="300"/>
      <c r="J12" s="300"/>
      <c r="K12" s="300"/>
      <c r="L12" s="300"/>
    </row>
    <row r="13" spans="2:12" ht="12" customHeight="1" x14ac:dyDescent="0.2">
      <c r="B13" s="199"/>
      <c r="C13" s="48"/>
      <c r="D13" s="103" t="s">
        <v>11</v>
      </c>
      <c r="E13" s="47" t="s">
        <v>131</v>
      </c>
      <c r="F13" s="109"/>
      <c r="G13" s="117"/>
      <c r="H13" s="118"/>
      <c r="I13" s="118"/>
      <c r="J13" s="118"/>
      <c r="K13" s="110"/>
      <c r="L13" s="111"/>
    </row>
    <row r="14" spans="2:12" ht="12" customHeight="1" x14ac:dyDescent="0.2">
      <c r="B14" s="199"/>
      <c r="C14" s="48"/>
      <c r="D14" s="103"/>
      <c r="E14" s="47" t="s">
        <v>108</v>
      </c>
      <c r="F14" s="109">
        <f>'YR1'!E55*'YR1'!G55</f>
        <v>0.66</v>
      </c>
      <c r="G14" s="117">
        <v>2</v>
      </c>
      <c r="H14" s="118">
        <f t="shared" ref="H14:H39" si="0">(F14*G14)</f>
        <v>1.32</v>
      </c>
      <c r="I14" s="118">
        <f t="shared" ref="I14:I34" si="1">H14*0.05</f>
        <v>6.6000000000000003E-2</v>
      </c>
      <c r="J14" s="118">
        <f t="shared" ref="J14:J34" si="2">H14*0.1</f>
        <v>0.13200000000000001</v>
      </c>
      <c r="K14" s="110">
        <f t="shared" ref="K14:K39" si="3">SUM(H14:J14)</f>
        <v>1.5180000000000002</v>
      </c>
      <c r="L14" s="111">
        <f>H14*Inputs!$D$90+I14*Inputs!$D$91+J14*Inputs!$D$92</f>
        <v>75.842976000000007</v>
      </c>
    </row>
    <row r="15" spans="2:12" ht="12" customHeight="1" x14ac:dyDescent="0.2">
      <c r="B15" s="199"/>
      <c r="C15" s="48"/>
      <c r="D15" s="103"/>
      <c r="E15" s="47" t="s">
        <v>109</v>
      </c>
      <c r="F15" s="109">
        <f>'YR1'!E56*'YR1'!G56</f>
        <v>0.66</v>
      </c>
      <c r="G15" s="117">
        <v>2</v>
      </c>
      <c r="H15" s="118">
        <f t="shared" ref="H15:H16" si="4">(F15*G15)</f>
        <v>1.32</v>
      </c>
      <c r="I15" s="118">
        <f t="shared" ref="I15:I17" si="5">H15*0.05</f>
        <v>6.6000000000000003E-2</v>
      </c>
      <c r="J15" s="118">
        <f t="shared" ref="J15:J17" si="6">H15*0.1</f>
        <v>0.13200000000000001</v>
      </c>
      <c r="K15" s="110">
        <f t="shared" ref="K15:K17" si="7">SUM(H15:J15)</f>
        <v>1.5180000000000002</v>
      </c>
      <c r="L15" s="111">
        <f>H15*Inputs!$D$90+I15*Inputs!$D$91+J15*Inputs!$D$92</f>
        <v>75.842976000000007</v>
      </c>
    </row>
    <row r="16" spans="2:12" ht="12" customHeight="1" x14ac:dyDescent="0.2">
      <c r="B16" s="199"/>
      <c r="C16" s="48"/>
      <c r="D16" s="103"/>
      <c r="E16" s="47" t="s">
        <v>231</v>
      </c>
      <c r="F16" s="109">
        <f>'YR1'!E57*'YR1'!G57</f>
        <v>0.66</v>
      </c>
      <c r="G16" s="117">
        <v>2</v>
      </c>
      <c r="H16" s="118">
        <f t="shared" si="4"/>
        <v>1.32</v>
      </c>
      <c r="I16" s="118">
        <f t="shared" si="5"/>
        <v>6.6000000000000003E-2</v>
      </c>
      <c r="J16" s="118">
        <f t="shared" si="6"/>
        <v>0.13200000000000001</v>
      </c>
      <c r="K16" s="110">
        <f t="shared" si="7"/>
        <v>1.5180000000000002</v>
      </c>
      <c r="L16" s="111">
        <f>H16*Inputs!$D$90+I16*Inputs!$D$91+J16*Inputs!$D$92</f>
        <v>75.842976000000007</v>
      </c>
    </row>
    <row r="17" spans="2:12" ht="12" customHeight="1" x14ac:dyDescent="0.2">
      <c r="B17" s="199"/>
      <c r="C17" s="48"/>
      <c r="D17" s="103"/>
      <c r="E17" s="47" t="s">
        <v>232</v>
      </c>
      <c r="F17" s="109">
        <f>'YR1'!E58*'YR1'!G58</f>
        <v>0.66</v>
      </c>
      <c r="G17" s="117">
        <v>2</v>
      </c>
      <c r="H17" s="118">
        <f>(F17*G17)</f>
        <v>1.32</v>
      </c>
      <c r="I17" s="118">
        <f t="shared" si="5"/>
        <v>6.6000000000000003E-2</v>
      </c>
      <c r="J17" s="118">
        <f t="shared" si="6"/>
        <v>0.13200000000000001</v>
      </c>
      <c r="K17" s="110">
        <f t="shared" si="7"/>
        <v>1.5180000000000002</v>
      </c>
      <c r="L17" s="111">
        <f>H17*Inputs!$D$90+I17*Inputs!$D$91+J17*Inputs!$D$92</f>
        <v>75.842976000000007</v>
      </c>
    </row>
    <row r="18" spans="2:12" ht="12" customHeight="1" x14ac:dyDescent="0.2">
      <c r="B18" s="199"/>
      <c r="C18" s="48"/>
      <c r="D18" s="103"/>
      <c r="E18" s="47" t="s">
        <v>208</v>
      </c>
      <c r="F18" s="109">
        <f>'YR1'!E59*'YR1'!G59</f>
        <v>0.66</v>
      </c>
      <c r="G18" s="117">
        <v>2</v>
      </c>
      <c r="H18" s="118">
        <f t="shared" ref="H18:H19" si="8">(F18*G18)</f>
        <v>1.32</v>
      </c>
      <c r="I18" s="118">
        <f t="shared" ref="I18:I19" si="9">H18*0.05</f>
        <v>6.6000000000000003E-2</v>
      </c>
      <c r="J18" s="118">
        <f t="shared" ref="J18:J19" si="10">H18*0.1</f>
        <v>0.13200000000000001</v>
      </c>
      <c r="K18" s="110">
        <f t="shared" ref="K18:K19" si="11">SUM(H18:J18)</f>
        <v>1.5180000000000002</v>
      </c>
      <c r="L18" s="111">
        <f>H18*Inputs!$D$90+I18*Inputs!$D$91+J18*Inputs!$D$92</f>
        <v>75.842976000000007</v>
      </c>
    </row>
    <row r="19" spans="2:12" ht="12" customHeight="1" x14ac:dyDescent="0.2">
      <c r="B19" s="199"/>
      <c r="C19" s="48"/>
      <c r="D19" s="103"/>
      <c r="E19" s="47" t="s">
        <v>233</v>
      </c>
      <c r="F19" s="109">
        <f>'YR1'!E60*'YR1'!G60</f>
        <v>0</v>
      </c>
      <c r="G19" s="117">
        <v>2</v>
      </c>
      <c r="H19" s="118">
        <f t="shared" si="8"/>
        <v>0</v>
      </c>
      <c r="I19" s="118">
        <f t="shared" si="9"/>
        <v>0</v>
      </c>
      <c r="J19" s="118">
        <f t="shared" si="10"/>
        <v>0</v>
      </c>
      <c r="K19" s="110">
        <f t="shared" si="11"/>
        <v>0</v>
      </c>
      <c r="L19" s="111">
        <f>H19*Inputs!$D$90+I19*Inputs!$D$91+J19*Inputs!$D$92</f>
        <v>0</v>
      </c>
    </row>
    <row r="20" spans="2:12" ht="12" customHeight="1" x14ac:dyDescent="0.2">
      <c r="B20" s="199"/>
      <c r="C20" s="48"/>
      <c r="D20" s="103"/>
      <c r="E20" s="47" t="s">
        <v>234</v>
      </c>
      <c r="F20" s="109">
        <f>'YR1'!E61*'YR1'!G61</f>
        <v>0</v>
      </c>
      <c r="G20" s="117">
        <v>2</v>
      </c>
      <c r="H20" s="118">
        <f t="shared" ref="H20:H21" si="12">(F20*G20)</f>
        <v>0</v>
      </c>
      <c r="I20" s="118">
        <f t="shared" ref="I20:I21" si="13">H20*0.05</f>
        <v>0</v>
      </c>
      <c r="J20" s="118">
        <f t="shared" ref="J20:J21" si="14">H20*0.1</f>
        <v>0</v>
      </c>
      <c r="K20" s="110">
        <f t="shared" ref="K20:K21" si="15">SUM(H20:J20)</f>
        <v>0</v>
      </c>
      <c r="L20" s="111">
        <f>H20*Inputs!$D$90+I20*Inputs!$D$91+J20*Inputs!$D$92</f>
        <v>0</v>
      </c>
    </row>
    <row r="21" spans="2:12" ht="12" customHeight="1" x14ac:dyDescent="0.2">
      <c r="B21" s="199"/>
      <c r="C21" s="48"/>
      <c r="D21" s="103"/>
      <c r="E21" s="47" t="s">
        <v>235</v>
      </c>
      <c r="F21" s="109">
        <f>'YR1'!E62*'YR1'!G62</f>
        <v>0</v>
      </c>
      <c r="G21" s="117">
        <v>2</v>
      </c>
      <c r="H21" s="118">
        <f t="shared" si="12"/>
        <v>0</v>
      </c>
      <c r="I21" s="118">
        <f t="shared" si="13"/>
        <v>0</v>
      </c>
      <c r="J21" s="118">
        <f t="shared" si="14"/>
        <v>0</v>
      </c>
      <c r="K21" s="110">
        <f t="shared" si="15"/>
        <v>0</v>
      </c>
      <c r="L21" s="111">
        <f>H21*Inputs!$D$90+I21*Inputs!$D$91+J21*Inputs!$D$92</f>
        <v>0</v>
      </c>
    </row>
    <row r="22" spans="2:12" ht="12" customHeight="1" x14ac:dyDescent="0.2">
      <c r="B22" s="199"/>
      <c r="C22" s="48"/>
      <c r="D22" s="103" t="s">
        <v>14</v>
      </c>
      <c r="E22" s="49" t="s">
        <v>158</v>
      </c>
      <c r="F22" s="109"/>
      <c r="G22" s="117"/>
      <c r="H22" s="118"/>
      <c r="I22" s="118"/>
      <c r="J22" s="118"/>
      <c r="K22" s="110"/>
      <c r="L22" s="111"/>
    </row>
    <row r="23" spans="2:12" ht="12" customHeight="1" x14ac:dyDescent="0.2">
      <c r="B23" s="199"/>
      <c r="C23" s="48"/>
      <c r="D23" s="103"/>
      <c r="E23" s="49" t="s">
        <v>108</v>
      </c>
      <c r="F23" s="109">
        <f>'YR1'!E64*'YR1'!G64</f>
        <v>1.32</v>
      </c>
      <c r="G23" s="117">
        <v>2</v>
      </c>
      <c r="H23" s="118">
        <f t="shared" ref="H23:H29" si="16">(F23*G23)</f>
        <v>2.64</v>
      </c>
      <c r="I23" s="118">
        <f t="shared" ref="I23:I29" si="17">H23*0.05</f>
        <v>0.13200000000000001</v>
      </c>
      <c r="J23" s="118">
        <f t="shared" ref="J23:J29" si="18">H23*0.1</f>
        <v>0.26400000000000001</v>
      </c>
      <c r="K23" s="110">
        <f t="shared" ref="K23:K29" si="19">SUM(H23:J23)</f>
        <v>3.0360000000000005</v>
      </c>
      <c r="L23" s="111">
        <f>H23*Inputs!$D$90+I23*Inputs!$D$91+J23*Inputs!$D$92</f>
        <v>151.68595200000001</v>
      </c>
    </row>
    <row r="24" spans="2:12" ht="12" customHeight="1" x14ac:dyDescent="0.2">
      <c r="B24" s="199"/>
      <c r="C24" s="48"/>
      <c r="D24" s="103"/>
      <c r="E24" s="49" t="s">
        <v>109</v>
      </c>
      <c r="F24" s="109">
        <f>'YR1'!E65*'YR1'!G65</f>
        <v>1.32</v>
      </c>
      <c r="G24" s="117">
        <v>2</v>
      </c>
      <c r="H24" s="118">
        <f t="shared" si="16"/>
        <v>2.64</v>
      </c>
      <c r="I24" s="118">
        <f t="shared" si="17"/>
        <v>0.13200000000000001</v>
      </c>
      <c r="J24" s="118">
        <f t="shared" si="18"/>
        <v>0.26400000000000001</v>
      </c>
      <c r="K24" s="110">
        <f t="shared" si="19"/>
        <v>3.0360000000000005</v>
      </c>
      <c r="L24" s="111">
        <f>H24*Inputs!$D$90+I24*Inputs!$D$91+J24*Inputs!$D$92</f>
        <v>151.68595200000001</v>
      </c>
    </row>
    <row r="25" spans="2:12" ht="12" customHeight="1" x14ac:dyDescent="0.2">
      <c r="B25" s="199"/>
      <c r="C25" s="48"/>
      <c r="D25" s="103"/>
      <c r="E25" s="49" t="s">
        <v>154</v>
      </c>
      <c r="F25" s="109">
        <f>'YR1'!E66*'YR1'!G66</f>
        <v>1.32</v>
      </c>
      <c r="G25" s="117">
        <v>2</v>
      </c>
      <c r="H25" s="118">
        <f t="shared" si="16"/>
        <v>2.64</v>
      </c>
      <c r="I25" s="118">
        <f t="shared" si="17"/>
        <v>0.13200000000000001</v>
      </c>
      <c r="J25" s="118">
        <f t="shared" si="18"/>
        <v>0.26400000000000001</v>
      </c>
      <c r="K25" s="110">
        <f t="shared" si="19"/>
        <v>3.0360000000000005</v>
      </c>
      <c r="L25" s="111">
        <f>H25*Inputs!$D$90+I25*Inputs!$D$91+J25*Inputs!$D$92</f>
        <v>151.68595200000001</v>
      </c>
    </row>
    <row r="26" spans="2:12" ht="12" customHeight="1" x14ac:dyDescent="0.2">
      <c r="B26" s="199"/>
      <c r="C26" s="48"/>
      <c r="D26" s="103"/>
      <c r="E26" s="49" t="s">
        <v>155</v>
      </c>
      <c r="F26" s="109">
        <f>'YR1'!E67*'YR1'!G67</f>
        <v>0</v>
      </c>
      <c r="G26" s="117">
        <v>2</v>
      </c>
      <c r="H26" s="118">
        <f t="shared" si="16"/>
        <v>0</v>
      </c>
      <c r="I26" s="118">
        <f t="shared" si="17"/>
        <v>0</v>
      </c>
      <c r="J26" s="118">
        <f t="shared" si="18"/>
        <v>0</v>
      </c>
      <c r="K26" s="110">
        <f t="shared" si="19"/>
        <v>0</v>
      </c>
      <c r="L26" s="111">
        <f>H26*Inputs!$D$90+I26*Inputs!$D$91+J26*Inputs!$D$92</f>
        <v>0</v>
      </c>
    </row>
    <row r="27" spans="2:12" ht="12" customHeight="1" x14ac:dyDescent="0.2">
      <c r="B27" s="199"/>
      <c r="C27" s="48"/>
      <c r="D27" s="103"/>
      <c r="E27" s="49" t="s">
        <v>128</v>
      </c>
      <c r="F27" s="109">
        <f>'YR1'!E68*'YR1'!G68</f>
        <v>1.32</v>
      </c>
      <c r="G27" s="117">
        <v>2</v>
      </c>
      <c r="H27" s="118">
        <f t="shared" si="16"/>
        <v>2.64</v>
      </c>
      <c r="I27" s="118">
        <f t="shared" si="17"/>
        <v>0.13200000000000001</v>
      </c>
      <c r="J27" s="118">
        <f t="shared" si="18"/>
        <v>0.26400000000000001</v>
      </c>
      <c r="K27" s="110">
        <f t="shared" si="19"/>
        <v>3.0360000000000005</v>
      </c>
      <c r="L27" s="111">
        <f>H27*Inputs!$D$90+I27*Inputs!$D$91+J27*Inputs!$D$92</f>
        <v>151.68595200000001</v>
      </c>
    </row>
    <row r="28" spans="2:12" ht="12" customHeight="1" x14ac:dyDescent="0.2">
      <c r="B28" s="199"/>
      <c r="C28" s="48"/>
      <c r="D28" s="103"/>
      <c r="E28" s="49" t="s">
        <v>209</v>
      </c>
      <c r="F28" s="109">
        <f>'YR1'!E69*'YR1'!G69</f>
        <v>1.32</v>
      </c>
      <c r="G28" s="117">
        <v>2</v>
      </c>
      <c r="H28" s="118">
        <f t="shared" si="16"/>
        <v>2.64</v>
      </c>
      <c r="I28" s="118">
        <f t="shared" si="17"/>
        <v>0.13200000000000001</v>
      </c>
      <c r="J28" s="118">
        <f t="shared" si="18"/>
        <v>0.26400000000000001</v>
      </c>
      <c r="K28" s="110">
        <f t="shared" si="19"/>
        <v>3.0360000000000005</v>
      </c>
      <c r="L28" s="111">
        <f>H28*Inputs!$D$90+I28*Inputs!$D$91+J28*Inputs!$D$92</f>
        <v>151.68595200000001</v>
      </c>
    </row>
    <row r="29" spans="2:12" ht="12" customHeight="1" x14ac:dyDescent="0.2">
      <c r="B29" s="199"/>
      <c r="C29" s="48"/>
      <c r="D29" s="103"/>
      <c r="E29" s="49" t="s">
        <v>210</v>
      </c>
      <c r="F29" s="109">
        <f>'YR1'!E70*'YR1'!G70</f>
        <v>1.32</v>
      </c>
      <c r="G29" s="117">
        <v>2</v>
      </c>
      <c r="H29" s="118">
        <f t="shared" si="16"/>
        <v>2.64</v>
      </c>
      <c r="I29" s="118">
        <f t="shared" si="17"/>
        <v>0.13200000000000001</v>
      </c>
      <c r="J29" s="118">
        <f t="shared" si="18"/>
        <v>0.26400000000000001</v>
      </c>
      <c r="K29" s="110">
        <f t="shared" si="19"/>
        <v>3.0360000000000005</v>
      </c>
      <c r="L29" s="111">
        <f>H29*Inputs!$D$90+I29*Inputs!$D$91+J29*Inputs!$D$92</f>
        <v>151.68595200000001</v>
      </c>
    </row>
    <row r="30" spans="2:12" ht="12" customHeight="1" x14ac:dyDescent="0.2">
      <c r="B30" s="199"/>
      <c r="C30" s="48"/>
      <c r="D30" s="103"/>
      <c r="E30" s="49" t="s">
        <v>211</v>
      </c>
      <c r="F30" s="109">
        <f>'YR1'!E71*'YR1'!G71</f>
        <v>1.32</v>
      </c>
      <c r="G30" s="117">
        <v>2</v>
      </c>
      <c r="H30" s="118">
        <f t="shared" ref="H30:H33" si="20">(F30*G30)</f>
        <v>2.64</v>
      </c>
      <c r="I30" s="118">
        <f t="shared" ref="I30:I33" si="21">H30*0.05</f>
        <v>0.13200000000000001</v>
      </c>
      <c r="J30" s="118">
        <f t="shared" ref="J30:J33" si="22">H30*0.1</f>
        <v>0.26400000000000001</v>
      </c>
      <c r="K30" s="110">
        <f t="shared" ref="K30:K33" si="23">SUM(H30:J30)</f>
        <v>3.0360000000000005</v>
      </c>
      <c r="L30" s="111">
        <f>H30*Inputs!$D$90+I30*Inputs!$D$91+J30*Inputs!$D$92</f>
        <v>151.68595200000001</v>
      </c>
    </row>
    <row r="31" spans="2:12" ht="12" customHeight="1" x14ac:dyDescent="0.2">
      <c r="B31" s="199"/>
      <c r="C31" s="48"/>
      <c r="D31" s="103"/>
      <c r="E31" s="49" t="s">
        <v>236</v>
      </c>
      <c r="F31" s="109">
        <f>'YR1'!E72*'YR1'!G72</f>
        <v>0</v>
      </c>
      <c r="G31" s="117">
        <v>2</v>
      </c>
      <c r="H31" s="118">
        <f t="shared" si="20"/>
        <v>0</v>
      </c>
      <c r="I31" s="118">
        <f t="shared" si="21"/>
        <v>0</v>
      </c>
      <c r="J31" s="118">
        <f t="shared" si="22"/>
        <v>0</v>
      </c>
      <c r="K31" s="110">
        <f t="shared" si="23"/>
        <v>0</v>
      </c>
      <c r="L31" s="111">
        <f>H31*Inputs!$D$90+I31*Inputs!$D$91+J31*Inputs!$D$92</f>
        <v>0</v>
      </c>
    </row>
    <row r="32" spans="2:12" ht="12" customHeight="1" x14ac:dyDescent="0.2">
      <c r="B32" s="199"/>
      <c r="C32" s="48"/>
      <c r="D32" s="103"/>
      <c r="E32" s="49" t="s">
        <v>237</v>
      </c>
      <c r="F32" s="109">
        <f>'YR1'!E73*'YR1'!G73</f>
        <v>0</v>
      </c>
      <c r="G32" s="117">
        <v>2</v>
      </c>
      <c r="H32" s="118">
        <f t="shared" si="20"/>
        <v>0</v>
      </c>
      <c r="I32" s="118">
        <f t="shared" si="21"/>
        <v>0</v>
      </c>
      <c r="J32" s="118">
        <f t="shared" si="22"/>
        <v>0</v>
      </c>
      <c r="K32" s="110">
        <f t="shared" si="23"/>
        <v>0</v>
      </c>
      <c r="L32" s="111">
        <f>H32*Inputs!$D$90+I32*Inputs!$D$91+J32*Inputs!$D$92</f>
        <v>0</v>
      </c>
    </row>
    <row r="33" spans="2:12" ht="12" customHeight="1" x14ac:dyDescent="0.2">
      <c r="B33" s="199"/>
      <c r="C33" s="48"/>
      <c r="D33" s="103"/>
      <c r="E33" s="49" t="s">
        <v>212</v>
      </c>
      <c r="F33" s="109">
        <f>'YR1'!E74*'YR1'!G74</f>
        <v>0</v>
      </c>
      <c r="G33" s="117">
        <v>2</v>
      </c>
      <c r="H33" s="118">
        <f t="shared" si="20"/>
        <v>0</v>
      </c>
      <c r="I33" s="118">
        <f t="shared" si="21"/>
        <v>0</v>
      </c>
      <c r="J33" s="118">
        <f t="shared" si="22"/>
        <v>0</v>
      </c>
      <c r="K33" s="110">
        <f t="shared" si="23"/>
        <v>0</v>
      </c>
      <c r="L33" s="111">
        <f>H33*Inputs!$D$90+I33*Inputs!$D$91+J33*Inputs!$D$92</f>
        <v>0</v>
      </c>
    </row>
    <row r="34" spans="2:12" ht="12" customHeight="1" x14ac:dyDescent="0.2">
      <c r="B34" s="199"/>
      <c r="C34" s="48"/>
      <c r="D34" s="103" t="s">
        <v>15</v>
      </c>
      <c r="E34" s="49" t="s">
        <v>130</v>
      </c>
      <c r="F34" s="109">
        <f>'YR1'!G92</f>
        <v>0.66</v>
      </c>
      <c r="G34" s="117">
        <v>5</v>
      </c>
      <c r="H34" s="118">
        <f t="shared" si="0"/>
        <v>3.3000000000000003</v>
      </c>
      <c r="I34" s="118">
        <f t="shared" si="1"/>
        <v>0.16500000000000004</v>
      </c>
      <c r="J34" s="118">
        <f t="shared" si="2"/>
        <v>0.33000000000000007</v>
      </c>
      <c r="K34" s="110">
        <f t="shared" si="3"/>
        <v>3.7950000000000004</v>
      </c>
      <c r="L34" s="111">
        <f>H34*Inputs!$D$90+I34*Inputs!$D$91+J34*Inputs!$D$92</f>
        <v>189.60744000000005</v>
      </c>
    </row>
    <row r="35" spans="2:12" ht="12" customHeight="1" x14ac:dyDescent="0.2">
      <c r="B35" s="199"/>
      <c r="C35" s="48"/>
      <c r="D35" s="103" t="s">
        <v>50</v>
      </c>
      <c r="E35" s="49" t="s">
        <v>190</v>
      </c>
      <c r="F35" s="109"/>
      <c r="G35" s="117"/>
      <c r="H35" s="118"/>
      <c r="I35" s="118"/>
      <c r="J35" s="118"/>
      <c r="K35" s="110"/>
      <c r="L35" s="111"/>
    </row>
    <row r="36" spans="2:12" ht="12" customHeight="1" x14ac:dyDescent="0.2">
      <c r="B36" s="199"/>
      <c r="C36" s="48"/>
      <c r="D36" s="103"/>
      <c r="E36" s="49" t="s">
        <v>238</v>
      </c>
      <c r="F36" s="109">
        <f>'YR1'!E76*'YR1'!G76</f>
        <v>0.66</v>
      </c>
      <c r="G36" s="117">
        <v>5</v>
      </c>
      <c r="H36" s="118">
        <f t="shared" ref="H36:H38" si="24">(F36*G36)</f>
        <v>3.3000000000000003</v>
      </c>
      <c r="I36" s="118">
        <f t="shared" ref="I36:I38" si="25">H36*0.05</f>
        <v>0.16500000000000004</v>
      </c>
      <c r="J36" s="118">
        <f t="shared" ref="J36:J38" si="26">H36*0.1</f>
        <v>0.33000000000000007</v>
      </c>
      <c r="K36" s="110">
        <f t="shared" ref="K36:K38" si="27">SUM(H36:J36)</f>
        <v>3.7950000000000004</v>
      </c>
      <c r="L36" s="111">
        <f>H36*Inputs!$D$90+I36*Inputs!$D$91+J36*Inputs!$D$92</f>
        <v>189.60744000000005</v>
      </c>
    </row>
    <row r="37" spans="2:12" ht="12" customHeight="1" x14ac:dyDescent="0.2">
      <c r="B37" s="199"/>
      <c r="C37" s="48"/>
      <c r="D37" s="103"/>
      <c r="E37" s="49" t="s">
        <v>214</v>
      </c>
      <c r="F37" s="109">
        <f>'YR1'!E77*'YR1'!G77</f>
        <v>0</v>
      </c>
      <c r="G37" s="117">
        <v>5</v>
      </c>
      <c r="H37" s="118">
        <f t="shared" si="24"/>
        <v>0</v>
      </c>
      <c r="I37" s="118">
        <f t="shared" si="25"/>
        <v>0</v>
      </c>
      <c r="J37" s="118">
        <f t="shared" si="26"/>
        <v>0</v>
      </c>
      <c r="K37" s="110">
        <f t="shared" si="27"/>
        <v>0</v>
      </c>
      <c r="L37" s="111">
        <f>H37*Inputs!$D$90+I37*Inputs!$D$91+J37*Inputs!$D$92</f>
        <v>0</v>
      </c>
    </row>
    <row r="38" spans="2:12" ht="12" customHeight="1" x14ac:dyDescent="0.2">
      <c r="B38" s="199"/>
      <c r="C38" s="48"/>
      <c r="D38" s="103"/>
      <c r="E38" s="49" t="s">
        <v>215</v>
      </c>
      <c r="F38" s="109">
        <f>'YR1'!E78*'YR1'!G78</f>
        <v>2.64</v>
      </c>
      <c r="G38" s="117">
        <v>2</v>
      </c>
      <c r="H38" s="118">
        <f t="shared" si="24"/>
        <v>5.28</v>
      </c>
      <c r="I38" s="118">
        <f t="shared" si="25"/>
        <v>0.26400000000000001</v>
      </c>
      <c r="J38" s="118">
        <f t="shared" si="26"/>
        <v>0.52800000000000002</v>
      </c>
      <c r="K38" s="110">
        <f t="shared" si="27"/>
        <v>6.072000000000001</v>
      </c>
      <c r="L38" s="111">
        <f>H38*Inputs!$D$90+I38*Inputs!$D$91+J38*Inputs!$D$92</f>
        <v>303.37190400000003</v>
      </c>
    </row>
    <row r="39" spans="2:12" ht="12" customHeight="1" x14ac:dyDescent="0.2">
      <c r="B39" s="200"/>
      <c r="C39" s="46" t="s">
        <v>27</v>
      </c>
      <c r="D39" s="47" t="s">
        <v>28</v>
      </c>
      <c r="E39" s="47"/>
      <c r="F39" s="119">
        <v>1</v>
      </c>
      <c r="G39" s="118">
        <v>10</v>
      </c>
      <c r="H39" s="118">
        <f t="shared" si="0"/>
        <v>10</v>
      </c>
      <c r="I39" s="118">
        <f t="shared" ref="I39" si="28">H39*0.05</f>
        <v>0.5</v>
      </c>
      <c r="J39" s="118">
        <f t="shared" ref="J39" si="29">H39*0.1</f>
        <v>1</v>
      </c>
      <c r="K39" s="110">
        <f t="shared" si="3"/>
        <v>11.5</v>
      </c>
      <c r="L39" s="111">
        <f>H39*Inputs!$D$90+I39*Inputs!$D$91+J39*Inputs!$D$92</f>
        <v>574.56799999999998</v>
      </c>
    </row>
    <row r="40" spans="2:12" ht="12" customHeight="1" thickBot="1" x14ac:dyDescent="0.25">
      <c r="B40" s="201" t="s">
        <v>50</v>
      </c>
      <c r="C40" s="41" t="s">
        <v>29</v>
      </c>
      <c r="D40" s="42"/>
      <c r="E40" s="42"/>
      <c r="F40" s="43"/>
      <c r="G40" s="37"/>
      <c r="H40" s="37"/>
      <c r="I40" s="44">
        <f>IF(F8=0,"$0",1*3.75*75+600)</f>
        <v>881.25</v>
      </c>
      <c r="J40" s="45" t="s">
        <v>30</v>
      </c>
      <c r="K40" s="45"/>
      <c r="L40" s="38">
        <f>IF(ISTEXT(I40),0,F8*I40)</f>
        <v>1163.25</v>
      </c>
    </row>
    <row r="41" spans="2:12" ht="12" customHeight="1" thickTop="1" x14ac:dyDescent="0.2">
      <c r="B41" s="202"/>
      <c r="C41" s="203" t="s">
        <v>31</v>
      </c>
      <c r="D41" s="204"/>
      <c r="E41" s="204"/>
      <c r="F41" s="205"/>
      <c r="G41" s="206"/>
      <c r="H41" s="207">
        <f>SUM(H6:H39)</f>
        <v>1148.0800000000002</v>
      </c>
      <c r="I41" s="207">
        <f>SUM(I6:I39)</f>
        <v>57.403999999999996</v>
      </c>
      <c r="J41" s="207">
        <f>SUM(J6:J39)</f>
        <v>114.80799999999999</v>
      </c>
      <c r="K41" s="207">
        <f>SUM(K6:K39)</f>
        <v>1320.2920000000006</v>
      </c>
      <c r="L41" s="208">
        <f>SUM(L6:L40)</f>
        <v>67128.252944000007</v>
      </c>
    </row>
    <row r="42" spans="2:12" ht="12" customHeight="1" x14ac:dyDescent="0.2">
      <c r="B42" s="8"/>
      <c r="C42" s="8"/>
      <c r="D42" s="8"/>
      <c r="E42" s="8"/>
      <c r="F42" s="8"/>
      <c r="G42" s="14"/>
      <c r="H42" s="15"/>
      <c r="I42" s="15"/>
      <c r="J42" s="15"/>
      <c r="K42" s="15"/>
      <c r="L42" s="15"/>
    </row>
    <row r="43" spans="2:12" ht="12" customHeight="1" x14ac:dyDescent="0.2">
      <c r="B43" s="39" t="s">
        <v>86</v>
      </c>
      <c r="C43" s="39"/>
      <c r="D43" s="8"/>
      <c r="E43" s="8"/>
      <c r="F43" s="8"/>
      <c r="G43" s="14"/>
      <c r="H43" s="15"/>
      <c r="I43" s="15"/>
      <c r="J43" s="15"/>
      <c r="K43" s="15"/>
      <c r="L43" s="15"/>
    </row>
    <row r="44" spans="2:12" ht="12" customHeight="1" x14ac:dyDescent="0.2">
      <c r="B44" s="303" t="s">
        <v>304</v>
      </c>
      <c r="C44" s="303"/>
      <c r="D44" s="303"/>
      <c r="E44" s="303"/>
      <c r="F44" s="303"/>
      <c r="G44" s="303"/>
      <c r="H44" s="303"/>
      <c r="I44" s="303"/>
      <c r="J44" s="303"/>
      <c r="K44" s="303"/>
      <c r="L44" s="303"/>
    </row>
    <row r="45" spans="2:12" ht="24.6" customHeight="1" x14ac:dyDescent="0.2">
      <c r="B45" s="304" t="s">
        <v>305</v>
      </c>
      <c r="C45" s="304"/>
      <c r="D45" s="304"/>
      <c r="E45" s="304"/>
      <c r="F45" s="304"/>
      <c r="G45" s="304"/>
      <c r="H45" s="304"/>
      <c r="I45" s="304"/>
      <c r="J45" s="304"/>
      <c r="K45" s="304"/>
      <c r="L45" s="304"/>
    </row>
    <row r="46" spans="2:12" ht="12" customHeight="1" x14ac:dyDescent="0.2">
      <c r="B46" s="40"/>
      <c r="C46" s="39"/>
      <c r="D46" s="8"/>
      <c r="E46" s="8"/>
      <c r="F46" s="8"/>
      <c r="G46" s="14"/>
      <c r="H46" s="15"/>
      <c r="I46" s="15"/>
      <c r="J46" s="15"/>
      <c r="K46" s="15"/>
      <c r="L46" s="15"/>
    </row>
    <row r="47" spans="2:12" ht="12" customHeight="1" x14ac:dyDescent="0.2">
      <c r="B47" s="40"/>
      <c r="C47" s="39"/>
      <c r="D47" s="8"/>
      <c r="E47" s="8"/>
      <c r="F47" s="8"/>
      <c r="G47" s="14"/>
      <c r="H47" s="15"/>
      <c r="I47" s="15"/>
      <c r="J47" s="15"/>
      <c r="K47" s="15"/>
      <c r="L47" s="15"/>
    </row>
    <row r="48" spans="2:12" ht="12" customHeight="1" x14ac:dyDescent="0.2">
      <c r="B48" s="40"/>
      <c r="C48" s="39"/>
    </row>
    <row r="49" spans="2:2" x14ac:dyDescent="0.2">
      <c r="B49" s="17"/>
    </row>
    <row r="50" spans="2:2" x14ac:dyDescent="0.2">
      <c r="B50" s="17"/>
    </row>
    <row r="51" spans="2:2" x14ac:dyDescent="0.2">
      <c r="B51" s="17"/>
    </row>
    <row r="52" spans="2:2" x14ac:dyDescent="0.2">
      <c r="B52" s="17"/>
    </row>
    <row r="65" spans="21:24" x14ac:dyDescent="0.2">
      <c r="U65" s="298" t="s">
        <v>32</v>
      </c>
      <c r="V65" s="298"/>
      <c r="W65" s="298"/>
      <c r="X65" s="26">
        <v>0.2</v>
      </c>
    </row>
    <row r="66" spans="21:24" x14ac:dyDescent="0.2">
      <c r="U66" s="298" t="s">
        <v>33</v>
      </c>
      <c r="V66" s="298"/>
      <c r="W66" s="298"/>
      <c r="X66" s="26">
        <v>0.1</v>
      </c>
    </row>
    <row r="67" spans="21:24" x14ac:dyDescent="0.2">
      <c r="U67" s="298" t="s">
        <v>34</v>
      </c>
      <c r="V67" s="298"/>
      <c r="W67" s="298"/>
      <c r="X67" s="26">
        <v>0.1</v>
      </c>
    </row>
  </sheetData>
  <sheetProtection algorithmName="SHA-512" hashValue="i61FxG62rCfqB48lYmNbkzH/YL4pWYdth7biZe6dRDo4mfy/ZNuKty7xgSRs7oaHWW8vjYUn/G2XPdsBgvSBgg==" saltValue="IZhN+cKJPf83F4pKBp2I0w==" spinCount="100000" sheet="1" objects="1" scenarios="1"/>
  <mergeCells count="14">
    <mergeCell ref="D8:E8"/>
    <mergeCell ref="F12:L12"/>
    <mergeCell ref="F7:L7"/>
    <mergeCell ref="B2:L2"/>
    <mergeCell ref="B4:E4"/>
    <mergeCell ref="F5:L5"/>
    <mergeCell ref="C6:E6"/>
    <mergeCell ref="U65:W65"/>
    <mergeCell ref="U66:W66"/>
    <mergeCell ref="U67:W67"/>
    <mergeCell ref="F10:L10"/>
    <mergeCell ref="F11:L11"/>
    <mergeCell ref="B44:L44"/>
    <mergeCell ref="B45:L45"/>
  </mergeCells>
  <printOptions horizontalCentered="1"/>
  <pageMargins left="0.7" right="0.7" top="0.75" bottom="0.75" header="0.3" footer="0.3"/>
  <pageSetup scale="93" orientation="landscape" r:id="rId1"/>
  <ignoredErrors>
    <ignoredError sqref="B5:B8 B40" numberStoredAsText="1"/>
    <ignoredError sqref="B9" numberStoredAsText="1" unlockedFormula="1"/>
    <ignoredError sqref="L10:L12 G9:J9 F10:J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85C3-051C-472D-B17C-58484E41B320}">
  <sheetPr>
    <tabColor rgb="FF00B050"/>
  </sheetPr>
  <dimension ref="B2:X67"/>
  <sheetViews>
    <sheetView zoomScaleNormal="100" workbookViewId="0"/>
  </sheetViews>
  <sheetFormatPr defaultColWidth="9.140625" defaultRowHeight="14.25" x14ac:dyDescent="0.2"/>
  <cols>
    <col min="1" max="1" width="4.140625" style="24" customWidth="1"/>
    <col min="2" max="4" width="3.140625" style="13" customWidth="1"/>
    <col min="5" max="5" width="31.28515625" style="13" customWidth="1"/>
    <col min="6" max="8" width="11.28515625" style="13" customWidth="1"/>
    <col min="9" max="9" width="11.5703125" style="13" bestFit="1" customWidth="1"/>
    <col min="10" max="10" width="10.42578125" style="13" bestFit="1" customWidth="1"/>
    <col min="11" max="11" width="10.140625" style="13" bestFit="1" customWidth="1"/>
    <col min="12" max="12" width="8.42578125" style="13" bestFit="1" customWidth="1"/>
    <col min="13" max="13" width="3.85546875" style="24" customWidth="1"/>
    <col min="14" max="16384" width="9.140625" style="24"/>
  </cols>
  <sheetData>
    <row r="2" spans="2:12" ht="15" x14ac:dyDescent="0.25">
      <c r="B2" s="307" t="s">
        <v>310</v>
      </c>
      <c r="C2" s="307"/>
      <c r="D2" s="307"/>
      <c r="E2" s="307"/>
      <c r="F2" s="307"/>
      <c r="G2" s="307"/>
      <c r="H2" s="307"/>
      <c r="I2" s="307"/>
      <c r="J2" s="307"/>
      <c r="K2" s="307"/>
      <c r="L2" s="307"/>
    </row>
    <row r="3" spans="2:12" x14ac:dyDescent="0.2">
      <c r="B3" s="187"/>
      <c r="C3" s="188"/>
      <c r="D3" s="188"/>
      <c r="E3" s="188"/>
      <c r="F3" s="189" t="s">
        <v>4</v>
      </c>
      <c r="G3" s="190" t="s">
        <v>5</v>
      </c>
      <c r="H3" s="191" t="s">
        <v>6</v>
      </c>
      <c r="I3" s="191" t="s">
        <v>7</v>
      </c>
      <c r="J3" s="191" t="s">
        <v>8</v>
      </c>
      <c r="K3" s="192" t="s">
        <v>9</v>
      </c>
      <c r="L3" s="192" t="s">
        <v>103</v>
      </c>
    </row>
    <row r="4" spans="2:12" ht="48.75" thickBot="1" x14ac:dyDescent="0.25">
      <c r="B4" s="308" t="s">
        <v>2</v>
      </c>
      <c r="C4" s="309"/>
      <c r="D4" s="309"/>
      <c r="E4" s="309"/>
      <c r="F4" s="105" t="s">
        <v>10</v>
      </c>
      <c r="G4" s="106" t="s">
        <v>101</v>
      </c>
      <c r="H4" s="107" t="s">
        <v>87</v>
      </c>
      <c r="I4" s="107" t="s">
        <v>88</v>
      </c>
      <c r="J4" s="107" t="s">
        <v>89</v>
      </c>
      <c r="K4" s="107" t="s">
        <v>102</v>
      </c>
      <c r="L4" s="107" t="s">
        <v>303</v>
      </c>
    </row>
    <row r="5" spans="2:12" ht="12" customHeight="1" thickTop="1" x14ac:dyDescent="0.2">
      <c r="B5" s="193" t="s">
        <v>11</v>
      </c>
      <c r="C5" s="27" t="s">
        <v>12</v>
      </c>
      <c r="D5" s="28"/>
      <c r="E5" s="28"/>
      <c r="F5" s="310" t="s">
        <v>13</v>
      </c>
      <c r="G5" s="311"/>
      <c r="H5" s="311"/>
      <c r="I5" s="311"/>
      <c r="J5" s="311"/>
      <c r="K5" s="311"/>
      <c r="L5" s="311"/>
    </row>
    <row r="6" spans="2:12" ht="12" customHeight="1" x14ac:dyDescent="0.2">
      <c r="B6" s="194" t="s">
        <v>14</v>
      </c>
      <c r="C6" s="312" t="s">
        <v>302</v>
      </c>
      <c r="D6" s="312"/>
      <c r="E6" s="312"/>
      <c r="F6" s="149">
        <v>0</v>
      </c>
      <c r="G6" s="110">
        <v>24</v>
      </c>
      <c r="H6" s="110">
        <f>(F6*G6)</f>
        <v>0</v>
      </c>
      <c r="I6" s="110">
        <f>H6*0.05</f>
        <v>0</v>
      </c>
      <c r="J6" s="110">
        <f>H6*0.1</f>
        <v>0</v>
      </c>
      <c r="K6" s="110">
        <f>SUM(H6:J6)</f>
        <v>0</v>
      </c>
      <c r="L6" s="111">
        <f>H6*Inputs!$D$90+I6*Inputs!$D$91+J6*Inputs!$D$92</f>
        <v>0</v>
      </c>
    </row>
    <row r="7" spans="2:12" ht="12" customHeight="1" x14ac:dyDescent="0.2">
      <c r="B7" s="195" t="s">
        <v>15</v>
      </c>
      <c r="C7" s="29" t="s">
        <v>16</v>
      </c>
      <c r="D7" s="29"/>
      <c r="E7" s="29"/>
      <c r="F7" s="299"/>
      <c r="G7" s="300"/>
      <c r="H7" s="300"/>
      <c r="I7" s="300"/>
      <c r="J7" s="300"/>
      <c r="K7" s="300"/>
      <c r="L7" s="300"/>
    </row>
    <row r="8" spans="2:12" ht="12" customHeight="1" x14ac:dyDescent="0.2">
      <c r="B8" s="196">
        <v>0.08</v>
      </c>
      <c r="C8" s="30" t="s">
        <v>17</v>
      </c>
      <c r="D8" s="305" t="s">
        <v>18</v>
      </c>
      <c r="E8" s="306"/>
      <c r="F8" s="112">
        <f>'YR2'!G19+'YR2'!G28+'YR2'!G43</f>
        <v>30</v>
      </c>
      <c r="G8" s="113">
        <v>16</v>
      </c>
      <c r="H8" s="114">
        <f>(F8*G8)</f>
        <v>480</v>
      </c>
      <c r="I8" s="114">
        <f>H8*0.05</f>
        <v>24</v>
      </c>
      <c r="J8" s="114">
        <f>H8*0.1</f>
        <v>48</v>
      </c>
      <c r="K8" s="110">
        <f>SUM(H8:J8)</f>
        <v>552</v>
      </c>
      <c r="L8" s="111">
        <f>H8*Inputs!$D$90+I8*Inputs!$D$91+J8*Inputs!$D$92</f>
        <v>27579.264000000003</v>
      </c>
    </row>
    <row r="9" spans="2:12" ht="12" customHeight="1" x14ac:dyDescent="0.2">
      <c r="B9" s="197">
        <f>0.1*0.1</f>
        <v>1.0000000000000002E-2</v>
      </c>
      <c r="C9" s="31" t="s">
        <v>19</v>
      </c>
      <c r="D9" s="32" t="s">
        <v>20</v>
      </c>
      <c r="E9" s="32"/>
      <c r="F9" s="150">
        <v>0</v>
      </c>
      <c r="G9" s="115">
        <v>24</v>
      </c>
      <c r="H9" s="116">
        <f>(F9*G9)</f>
        <v>0</v>
      </c>
      <c r="I9" s="116">
        <f>H9*0.05</f>
        <v>0</v>
      </c>
      <c r="J9" s="116">
        <f>H9*0.1</f>
        <v>0</v>
      </c>
      <c r="K9" s="110">
        <f>SUM(H9:J9)</f>
        <v>0</v>
      </c>
      <c r="L9" s="111">
        <f>H9*Inputs!$D$90+I9*Inputs!$D$91+J9*Inputs!$D$92</f>
        <v>0</v>
      </c>
    </row>
    <row r="10" spans="2:12" ht="12" customHeight="1" x14ac:dyDescent="0.2">
      <c r="B10" s="197"/>
      <c r="C10" s="33" t="s">
        <v>21</v>
      </c>
      <c r="D10" s="27" t="s">
        <v>22</v>
      </c>
      <c r="E10" s="27"/>
      <c r="F10" s="299" t="s">
        <v>13</v>
      </c>
      <c r="G10" s="300"/>
      <c r="H10" s="300"/>
      <c r="I10" s="300"/>
      <c r="J10" s="300"/>
      <c r="K10" s="300"/>
      <c r="L10" s="300"/>
    </row>
    <row r="11" spans="2:12" ht="12" customHeight="1" x14ac:dyDescent="0.2">
      <c r="B11" s="196"/>
      <c r="C11" s="34" t="s">
        <v>23</v>
      </c>
      <c r="D11" s="35" t="s">
        <v>24</v>
      </c>
      <c r="E11" s="35"/>
      <c r="F11" s="301" t="s">
        <v>13</v>
      </c>
      <c r="G11" s="302"/>
      <c r="H11" s="302"/>
      <c r="I11" s="302"/>
      <c r="J11" s="302"/>
      <c r="K11" s="302"/>
      <c r="L11" s="302"/>
    </row>
    <row r="12" spans="2:12" ht="12" customHeight="1" x14ac:dyDescent="0.2">
      <c r="B12" s="198"/>
      <c r="C12" s="36" t="s">
        <v>25</v>
      </c>
      <c r="D12" s="29" t="s">
        <v>26</v>
      </c>
      <c r="E12" s="29"/>
      <c r="F12" s="299"/>
      <c r="G12" s="300"/>
      <c r="H12" s="300"/>
      <c r="I12" s="300"/>
      <c r="J12" s="300"/>
      <c r="K12" s="300"/>
      <c r="L12" s="300"/>
    </row>
    <row r="13" spans="2:12" ht="12" customHeight="1" x14ac:dyDescent="0.2">
      <c r="B13" s="199"/>
      <c r="C13" s="48"/>
      <c r="D13" s="103" t="s">
        <v>11</v>
      </c>
      <c r="E13" s="47" t="s">
        <v>131</v>
      </c>
      <c r="F13" s="109"/>
      <c r="G13" s="117"/>
      <c r="H13" s="118"/>
      <c r="I13" s="118"/>
      <c r="J13" s="118"/>
      <c r="K13" s="110"/>
      <c r="L13" s="111"/>
    </row>
    <row r="14" spans="2:12" ht="12" customHeight="1" x14ac:dyDescent="0.2">
      <c r="B14" s="199"/>
      <c r="C14" s="48"/>
      <c r="D14" s="103"/>
      <c r="E14" s="47" t="s">
        <v>108</v>
      </c>
      <c r="F14" s="109">
        <f>'YR2'!E55*'YR2'!G55</f>
        <v>70.33</v>
      </c>
      <c r="G14" s="117">
        <v>2</v>
      </c>
      <c r="H14" s="118">
        <f t="shared" ref="H14:H39" si="0">(F14*G14)</f>
        <v>140.66</v>
      </c>
      <c r="I14" s="118">
        <f t="shared" ref="I14:I34" si="1">H14*0.05</f>
        <v>7.0330000000000004</v>
      </c>
      <c r="J14" s="118">
        <f t="shared" ref="J14:J34" si="2">H14*0.1</f>
        <v>14.066000000000001</v>
      </c>
      <c r="K14" s="110">
        <f t="shared" ref="K14:K39" si="3">SUM(H14:J14)</f>
        <v>161.75899999999999</v>
      </c>
      <c r="L14" s="111">
        <f>H14*Inputs!$D$90+I14*Inputs!$D$91+J14*Inputs!$D$92</f>
        <v>8081.8734880000011</v>
      </c>
    </row>
    <row r="15" spans="2:12" ht="12" customHeight="1" x14ac:dyDescent="0.2">
      <c r="B15" s="199"/>
      <c r="C15" s="48"/>
      <c r="D15" s="103"/>
      <c r="E15" s="47" t="s">
        <v>109</v>
      </c>
      <c r="F15" s="109">
        <f>'YR2'!E56*'YR2'!G56</f>
        <v>70.33</v>
      </c>
      <c r="G15" s="117">
        <v>2</v>
      </c>
      <c r="H15" s="118">
        <f t="shared" si="0"/>
        <v>140.66</v>
      </c>
      <c r="I15" s="118">
        <f t="shared" si="1"/>
        <v>7.0330000000000004</v>
      </c>
      <c r="J15" s="118">
        <f t="shared" si="2"/>
        <v>14.066000000000001</v>
      </c>
      <c r="K15" s="110">
        <f t="shared" si="3"/>
        <v>161.75899999999999</v>
      </c>
      <c r="L15" s="111">
        <f>H15*Inputs!$D$90+I15*Inputs!$D$91+J15*Inputs!$D$92</f>
        <v>8081.8734880000011</v>
      </c>
    </row>
    <row r="16" spans="2:12" ht="12" customHeight="1" x14ac:dyDescent="0.2">
      <c r="B16" s="199"/>
      <c r="C16" s="48"/>
      <c r="D16" s="103"/>
      <c r="E16" s="47" t="s">
        <v>231</v>
      </c>
      <c r="F16" s="109">
        <f>'YR2'!E57*'YR2'!G57</f>
        <v>70.33</v>
      </c>
      <c r="G16" s="117">
        <v>2</v>
      </c>
      <c r="H16" s="118">
        <f t="shared" si="0"/>
        <v>140.66</v>
      </c>
      <c r="I16" s="118">
        <f t="shared" si="1"/>
        <v>7.0330000000000004</v>
      </c>
      <c r="J16" s="118">
        <f t="shared" si="2"/>
        <v>14.066000000000001</v>
      </c>
      <c r="K16" s="110">
        <f t="shared" si="3"/>
        <v>161.75899999999999</v>
      </c>
      <c r="L16" s="111">
        <f>H16*Inputs!$D$90+I16*Inputs!$D$91+J16*Inputs!$D$92</f>
        <v>8081.8734880000011</v>
      </c>
    </row>
    <row r="17" spans="2:12" ht="12" customHeight="1" x14ac:dyDescent="0.2">
      <c r="B17" s="199"/>
      <c r="C17" s="48"/>
      <c r="D17" s="103"/>
      <c r="E17" s="47" t="s">
        <v>232</v>
      </c>
      <c r="F17" s="109">
        <f>'YR2'!E58*'YR2'!G58</f>
        <v>70.33</v>
      </c>
      <c r="G17" s="117">
        <v>2</v>
      </c>
      <c r="H17" s="118">
        <f>(F17*G17)</f>
        <v>140.66</v>
      </c>
      <c r="I17" s="118">
        <f t="shared" si="1"/>
        <v>7.0330000000000004</v>
      </c>
      <c r="J17" s="118">
        <f t="shared" si="2"/>
        <v>14.066000000000001</v>
      </c>
      <c r="K17" s="110">
        <f t="shared" si="3"/>
        <v>161.75899999999999</v>
      </c>
      <c r="L17" s="111">
        <f>H17*Inputs!$D$90+I17*Inputs!$D$91+J17*Inputs!$D$92</f>
        <v>8081.8734880000011</v>
      </c>
    </row>
    <row r="18" spans="2:12" ht="12" customHeight="1" x14ac:dyDescent="0.2">
      <c r="B18" s="199"/>
      <c r="C18" s="48"/>
      <c r="D18" s="103"/>
      <c r="E18" s="47" t="s">
        <v>208</v>
      </c>
      <c r="F18" s="109">
        <f>'YR2'!E59*'YR2'!G59</f>
        <v>2</v>
      </c>
      <c r="G18" s="117">
        <v>2</v>
      </c>
      <c r="H18" s="118">
        <f t="shared" ref="H18:H21" si="4">(F18*G18)</f>
        <v>4</v>
      </c>
      <c r="I18" s="118">
        <f t="shared" si="1"/>
        <v>0.2</v>
      </c>
      <c r="J18" s="118">
        <f t="shared" si="2"/>
        <v>0.4</v>
      </c>
      <c r="K18" s="110">
        <f t="shared" si="3"/>
        <v>4.6000000000000005</v>
      </c>
      <c r="L18" s="111">
        <f>H18*Inputs!$D$90+I18*Inputs!$D$91+J18*Inputs!$D$92</f>
        <v>229.8272</v>
      </c>
    </row>
    <row r="19" spans="2:12" ht="12" customHeight="1" x14ac:dyDescent="0.2">
      <c r="B19" s="199"/>
      <c r="C19" s="48"/>
      <c r="D19" s="103"/>
      <c r="E19" s="47" t="s">
        <v>233</v>
      </c>
      <c r="F19" s="109">
        <f>'YR2'!E60*'YR2'!G60</f>
        <v>17</v>
      </c>
      <c r="G19" s="117">
        <v>2</v>
      </c>
      <c r="H19" s="118">
        <f t="shared" si="4"/>
        <v>34</v>
      </c>
      <c r="I19" s="118">
        <f t="shared" si="1"/>
        <v>1.7000000000000002</v>
      </c>
      <c r="J19" s="118">
        <f t="shared" si="2"/>
        <v>3.4000000000000004</v>
      </c>
      <c r="K19" s="110">
        <f t="shared" si="3"/>
        <v>39.1</v>
      </c>
      <c r="L19" s="111">
        <f>H19*Inputs!$D$90+I19*Inputs!$D$91+J19*Inputs!$D$92</f>
        <v>1953.5312000000001</v>
      </c>
    </row>
    <row r="20" spans="2:12" ht="12" customHeight="1" x14ac:dyDescent="0.2">
      <c r="B20" s="199"/>
      <c r="C20" s="48"/>
      <c r="D20" s="103"/>
      <c r="E20" s="47" t="s">
        <v>234</v>
      </c>
      <c r="F20" s="109">
        <f>'YR2'!E61*'YR2'!G61</f>
        <v>7</v>
      </c>
      <c r="G20" s="117">
        <v>2</v>
      </c>
      <c r="H20" s="118">
        <f t="shared" si="4"/>
        <v>14</v>
      </c>
      <c r="I20" s="118">
        <f t="shared" si="1"/>
        <v>0.70000000000000007</v>
      </c>
      <c r="J20" s="118">
        <f t="shared" si="2"/>
        <v>1.4000000000000001</v>
      </c>
      <c r="K20" s="110">
        <f t="shared" si="3"/>
        <v>16.099999999999998</v>
      </c>
      <c r="L20" s="111">
        <f>H20*Inputs!$D$90+I20*Inputs!$D$91+J20*Inputs!$D$92</f>
        <v>804.39520000000005</v>
      </c>
    </row>
    <row r="21" spans="2:12" ht="12" customHeight="1" x14ac:dyDescent="0.2">
      <c r="B21" s="199"/>
      <c r="C21" s="48"/>
      <c r="D21" s="103"/>
      <c r="E21" s="47" t="s">
        <v>235</v>
      </c>
      <c r="F21" s="109">
        <f>'YR2'!E62*'YR2'!G62</f>
        <v>17</v>
      </c>
      <c r="G21" s="117">
        <v>2</v>
      </c>
      <c r="H21" s="118">
        <f t="shared" si="4"/>
        <v>34</v>
      </c>
      <c r="I21" s="118">
        <f t="shared" si="1"/>
        <v>1.7000000000000002</v>
      </c>
      <c r="J21" s="118">
        <f t="shared" si="2"/>
        <v>3.4000000000000004</v>
      </c>
      <c r="K21" s="110">
        <f t="shared" si="3"/>
        <v>39.1</v>
      </c>
      <c r="L21" s="111">
        <f>H21*Inputs!$D$90+I21*Inputs!$D$91+J21*Inputs!$D$92</f>
        <v>1953.5312000000001</v>
      </c>
    </row>
    <row r="22" spans="2:12" ht="12" customHeight="1" x14ac:dyDescent="0.2">
      <c r="B22" s="199"/>
      <c r="C22" s="48"/>
      <c r="D22" s="103" t="s">
        <v>14</v>
      </c>
      <c r="E22" s="49" t="s">
        <v>158</v>
      </c>
      <c r="F22" s="109"/>
      <c r="G22" s="117"/>
      <c r="H22" s="118"/>
      <c r="I22" s="118"/>
      <c r="J22" s="118"/>
      <c r="K22" s="110"/>
      <c r="L22" s="111"/>
    </row>
    <row r="23" spans="2:12" ht="12" customHeight="1" x14ac:dyDescent="0.2">
      <c r="B23" s="199"/>
      <c r="C23" s="48"/>
      <c r="D23" s="103"/>
      <c r="E23" s="49" t="s">
        <v>108</v>
      </c>
      <c r="F23" s="109">
        <f>'YR2'!E64*'YR2'!G64</f>
        <v>140.66</v>
      </c>
      <c r="G23" s="117">
        <v>2</v>
      </c>
      <c r="H23" s="118">
        <f t="shared" ref="H23:H33" si="5">(F23*G23)</f>
        <v>281.32</v>
      </c>
      <c r="I23" s="118">
        <f t="shared" ref="I23:I33" si="6">H23*0.05</f>
        <v>14.066000000000001</v>
      </c>
      <c r="J23" s="118">
        <f t="shared" ref="J23:J33" si="7">H23*0.1</f>
        <v>28.132000000000001</v>
      </c>
      <c r="K23" s="110">
        <f t="shared" ref="K23:K33" si="8">SUM(H23:J23)</f>
        <v>323.51799999999997</v>
      </c>
      <c r="L23" s="111">
        <f>H23*Inputs!$D$90+I23*Inputs!$D$91+J23*Inputs!$D$92</f>
        <v>16163.746976000002</v>
      </c>
    </row>
    <row r="24" spans="2:12" ht="12" customHeight="1" x14ac:dyDescent="0.2">
      <c r="B24" s="199"/>
      <c r="C24" s="48"/>
      <c r="D24" s="103"/>
      <c r="E24" s="49" t="s">
        <v>109</v>
      </c>
      <c r="F24" s="109">
        <f>'YR2'!E65*'YR2'!G65</f>
        <v>140.66</v>
      </c>
      <c r="G24" s="117">
        <v>2</v>
      </c>
      <c r="H24" s="118">
        <f t="shared" si="5"/>
        <v>281.32</v>
      </c>
      <c r="I24" s="118">
        <f t="shared" si="6"/>
        <v>14.066000000000001</v>
      </c>
      <c r="J24" s="118">
        <f t="shared" si="7"/>
        <v>28.132000000000001</v>
      </c>
      <c r="K24" s="110">
        <f t="shared" si="8"/>
        <v>323.51799999999997</v>
      </c>
      <c r="L24" s="111">
        <f>H24*Inputs!$D$90+I24*Inputs!$D$91+J24*Inputs!$D$92</f>
        <v>16163.746976000002</v>
      </c>
    </row>
    <row r="25" spans="2:12" ht="12" customHeight="1" x14ac:dyDescent="0.2">
      <c r="B25" s="199"/>
      <c r="C25" s="48"/>
      <c r="D25" s="103"/>
      <c r="E25" s="49" t="s">
        <v>154</v>
      </c>
      <c r="F25" s="109">
        <f>'YR2'!E66*'YR2'!G66</f>
        <v>140.66</v>
      </c>
      <c r="G25" s="117">
        <v>2</v>
      </c>
      <c r="H25" s="118">
        <f t="shared" si="5"/>
        <v>281.32</v>
      </c>
      <c r="I25" s="118">
        <f t="shared" si="6"/>
        <v>14.066000000000001</v>
      </c>
      <c r="J25" s="118">
        <f t="shared" si="7"/>
        <v>28.132000000000001</v>
      </c>
      <c r="K25" s="110">
        <f t="shared" si="8"/>
        <v>323.51799999999997</v>
      </c>
      <c r="L25" s="111">
        <f>H25*Inputs!$D$90+I25*Inputs!$D$91+J25*Inputs!$D$92</f>
        <v>16163.746976000002</v>
      </c>
    </row>
    <row r="26" spans="2:12" ht="12" customHeight="1" x14ac:dyDescent="0.2">
      <c r="B26" s="199"/>
      <c r="C26" s="48"/>
      <c r="D26" s="103"/>
      <c r="E26" s="49" t="s">
        <v>155</v>
      </c>
      <c r="F26" s="109">
        <f>'YR2'!E67*'YR2'!G67</f>
        <v>0</v>
      </c>
      <c r="G26" s="117">
        <v>2</v>
      </c>
      <c r="H26" s="118">
        <f t="shared" si="5"/>
        <v>0</v>
      </c>
      <c r="I26" s="118">
        <f t="shared" si="6"/>
        <v>0</v>
      </c>
      <c r="J26" s="118">
        <f t="shared" si="7"/>
        <v>0</v>
      </c>
      <c r="K26" s="110">
        <f t="shared" si="8"/>
        <v>0</v>
      </c>
      <c r="L26" s="111">
        <f>H26*Inputs!$D$90+I26*Inputs!$D$91+J26*Inputs!$D$92</f>
        <v>0</v>
      </c>
    </row>
    <row r="27" spans="2:12" ht="12" customHeight="1" x14ac:dyDescent="0.2">
      <c r="B27" s="199"/>
      <c r="C27" s="48"/>
      <c r="D27" s="103"/>
      <c r="E27" s="49" t="s">
        <v>128</v>
      </c>
      <c r="F27" s="109">
        <f>'YR2'!E68*'YR2'!G68</f>
        <v>140.66</v>
      </c>
      <c r="G27" s="117">
        <v>2</v>
      </c>
      <c r="H27" s="118">
        <f t="shared" si="5"/>
        <v>281.32</v>
      </c>
      <c r="I27" s="118">
        <f t="shared" si="6"/>
        <v>14.066000000000001</v>
      </c>
      <c r="J27" s="118">
        <f t="shared" si="7"/>
        <v>28.132000000000001</v>
      </c>
      <c r="K27" s="110">
        <f t="shared" si="8"/>
        <v>323.51799999999997</v>
      </c>
      <c r="L27" s="111">
        <f>H27*Inputs!$D$90+I27*Inputs!$D$91+J27*Inputs!$D$92</f>
        <v>16163.746976000002</v>
      </c>
    </row>
    <row r="28" spans="2:12" ht="12" customHeight="1" x14ac:dyDescent="0.2">
      <c r="B28" s="199"/>
      <c r="C28" s="48"/>
      <c r="D28" s="103"/>
      <c r="E28" s="49" t="s">
        <v>209</v>
      </c>
      <c r="F28" s="109">
        <f>'YR2'!E69*'YR2'!G69</f>
        <v>140.66</v>
      </c>
      <c r="G28" s="117">
        <v>2</v>
      </c>
      <c r="H28" s="118">
        <f t="shared" si="5"/>
        <v>281.32</v>
      </c>
      <c r="I28" s="118">
        <f t="shared" si="6"/>
        <v>14.066000000000001</v>
      </c>
      <c r="J28" s="118">
        <f t="shared" si="7"/>
        <v>28.132000000000001</v>
      </c>
      <c r="K28" s="110">
        <f t="shared" si="8"/>
        <v>323.51799999999997</v>
      </c>
      <c r="L28" s="111">
        <f>H28*Inputs!$D$90+I28*Inputs!$D$91+J28*Inputs!$D$92</f>
        <v>16163.746976000002</v>
      </c>
    </row>
    <row r="29" spans="2:12" ht="12" customHeight="1" x14ac:dyDescent="0.2">
      <c r="B29" s="199"/>
      <c r="C29" s="48"/>
      <c r="D29" s="103"/>
      <c r="E29" s="49" t="s">
        <v>210</v>
      </c>
      <c r="F29" s="109">
        <f>'YR2'!E70*'YR2'!G70</f>
        <v>4</v>
      </c>
      <c r="G29" s="117">
        <v>2</v>
      </c>
      <c r="H29" s="118">
        <f t="shared" si="5"/>
        <v>8</v>
      </c>
      <c r="I29" s="118">
        <f t="shared" si="6"/>
        <v>0.4</v>
      </c>
      <c r="J29" s="118">
        <f t="shared" si="7"/>
        <v>0.8</v>
      </c>
      <c r="K29" s="110">
        <f t="shared" si="8"/>
        <v>9.2000000000000011</v>
      </c>
      <c r="L29" s="111">
        <f>H29*Inputs!$D$90+I29*Inputs!$D$91+J29*Inputs!$D$92</f>
        <v>459.65440000000001</v>
      </c>
    </row>
    <row r="30" spans="2:12" ht="12" customHeight="1" x14ac:dyDescent="0.2">
      <c r="B30" s="199"/>
      <c r="C30" s="48"/>
      <c r="D30" s="103"/>
      <c r="E30" s="49" t="s">
        <v>211</v>
      </c>
      <c r="F30" s="109">
        <f>'YR2'!E71*'YR2'!G71</f>
        <v>140.66</v>
      </c>
      <c r="G30" s="117">
        <v>2</v>
      </c>
      <c r="H30" s="118">
        <f t="shared" si="5"/>
        <v>281.32</v>
      </c>
      <c r="I30" s="118">
        <f t="shared" si="6"/>
        <v>14.066000000000001</v>
      </c>
      <c r="J30" s="118">
        <f t="shared" si="7"/>
        <v>28.132000000000001</v>
      </c>
      <c r="K30" s="110">
        <f t="shared" si="8"/>
        <v>323.51799999999997</v>
      </c>
      <c r="L30" s="111">
        <f>H30*Inputs!$D$90+I30*Inputs!$D$91+J30*Inputs!$D$92</f>
        <v>16163.746976000002</v>
      </c>
    </row>
    <row r="31" spans="2:12" ht="12" customHeight="1" x14ac:dyDescent="0.2">
      <c r="B31" s="199"/>
      <c r="C31" s="48"/>
      <c r="D31" s="103"/>
      <c r="E31" s="49" t="s">
        <v>236</v>
      </c>
      <c r="F31" s="109">
        <f>'YR2'!E72*'YR2'!G72</f>
        <v>14</v>
      </c>
      <c r="G31" s="117">
        <v>2</v>
      </c>
      <c r="H31" s="118">
        <f t="shared" si="5"/>
        <v>28</v>
      </c>
      <c r="I31" s="118">
        <f t="shared" si="6"/>
        <v>1.4000000000000001</v>
      </c>
      <c r="J31" s="118">
        <f t="shared" si="7"/>
        <v>2.8000000000000003</v>
      </c>
      <c r="K31" s="110">
        <f t="shared" si="8"/>
        <v>32.199999999999996</v>
      </c>
      <c r="L31" s="111">
        <f>H31*Inputs!$D$90+I31*Inputs!$D$91+J31*Inputs!$D$92</f>
        <v>1608.7904000000001</v>
      </c>
    </row>
    <row r="32" spans="2:12" ht="12" customHeight="1" x14ac:dyDescent="0.2">
      <c r="B32" s="199"/>
      <c r="C32" s="48"/>
      <c r="D32" s="103"/>
      <c r="E32" s="49" t="s">
        <v>237</v>
      </c>
      <c r="F32" s="109">
        <f>'YR2'!E73*'YR2'!G73</f>
        <v>34</v>
      </c>
      <c r="G32" s="117">
        <v>2</v>
      </c>
      <c r="H32" s="118">
        <f t="shared" si="5"/>
        <v>68</v>
      </c>
      <c r="I32" s="118">
        <f t="shared" si="6"/>
        <v>3.4000000000000004</v>
      </c>
      <c r="J32" s="118">
        <f t="shared" si="7"/>
        <v>6.8000000000000007</v>
      </c>
      <c r="K32" s="110">
        <f t="shared" si="8"/>
        <v>78.2</v>
      </c>
      <c r="L32" s="111">
        <f>H32*Inputs!$D$90+I32*Inputs!$D$91+J32*Inputs!$D$92</f>
        <v>3907.0624000000003</v>
      </c>
    </row>
    <row r="33" spans="2:12" ht="12" customHeight="1" x14ac:dyDescent="0.2">
      <c r="B33" s="199"/>
      <c r="C33" s="48"/>
      <c r="D33" s="103"/>
      <c r="E33" s="49" t="s">
        <v>212</v>
      </c>
      <c r="F33" s="109">
        <f>'YR2'!E74*'YR2'!G74</f>
        <v>34</v>
      </c>
      <c r="G33" s="117">
        <v>2</v>
      </c>
      <c r="H33" s="118">
        <f t="shared" si="5"/>
        <v>68</v>
      </c>
      <c r="I33" s="118">
        <f t="shared" si="6"/>
        <v>3.4000000000000004</v>
      </c>
      <c r="J33" s="118">
        <f t="shared" si="7"/>
        <v>6.8000000000000007</v>
      </c>
      <c r="K33" s="110">
        <f t="shared" si="8"/>
        <v>78.2</v>
      </c>
      <c r="L33" s="111">
        <f>H33*Inputs!$D$90+I33*Inputs!$D$91+J33*Inputs!$D$92</f>
        <v>3907.0624000000003</v>
      </c>
    </row>
    <row r="34" spans="2:12" ht="12" customHeight="1" x14ac:dyDescent="0.2">
      <c r="B34" s="199"/>
      <c r="C34" s="48"/>
      <c r="D34" s="103" t="s">
        <v>15</v>
      </c>
      <c r="E34" s="49" t="s">
        <v>130</v>
      </c>
      <c r="F34" s="109">
        <f>'YR2'!E92*'YR2'!G92</f>
        <v>70.33</v>
      </c>
      <c r="G34" s="117">
        <v>5</v>
      </c>
      <c r="H34" s="118">
        <f t="shared" si="0"/>
        <v>351.65</v>
      </c>
      <c r="I34" s="118">
        <f t="shared" si="1"/>
        <v>17.5825</v>
      </c>
      <c r="J34" s="118">
        <f t="shared" si="2"/>
        <v>35.164999999999999</v>
      </c>
      <c r="K34" s="110">
        <f t="shared" si="3"/>
        <v>404.39749999999998</v>
      </c>
      <c r="L34" s="111">
        <f>H34*Inputs!$D$90+I34*Inputs!$D$91+J34*Inputs!$D$92</f>
        <v>20204.683720000001</v>
      </c>
    </row>
    <row r="35" spans="2:12" ht="12" customHeight="1" x14ac:dyDescent="0.2">
      <c r="B35" s="199"/>
      <c r="C35" s="48"/>
      <c r="D35" s="103" t="s">
        <v>50</v>
      </c>
      <c r="E35" s="49" t="s">
        <v>190</v>
      </c>
      <c r="F35" s="109"/>
      <c r="G35" s="117"/>
      <c r="H35" s="118"/>
      <c r="I35" s="118"/>
      <c r="J35" s="118"/>
      <c r="K35" s="110"/>
      <c r="L35" s="111"/>
    </row>
    <row r="36" spans="2:12" ht="12" customHeight="1" x14ac:dyDescent="0.2">
      <c r="B36" s="199"/>
      <c r="C36" s="48"/>
      <c r="D36" s="103"/>
      <c r="E36" s="49" t="s">
        <v>238</v>
      </c>
      <c r="F36" s="109">
        <f>'YR2'!E76*'YR2'!G76</f>
        <v>126</v>
      </c>
      <c r="G36" s="117">
        <v>5</v>
      </c>
      <c r="H36" s="118">
        <f t="shared" ref="H36:H38" si="9">(F36*G36)</f>
        <v>630</v>
      </c>
      <c r="I36" s="118">
        <f t="shared" ref="I36:I39" si="10">H36*0.05</f>
        <v>31.5</v>
      </c>
      <c r="J36" s="118">
        <f t="shared" ref="J36:J39" si="11">H36*0.1</f>
        <v>63</v>
      </c>
      <c r="K36" s="110">
        <f t="shared" ref="K36:K38" si="12">SUM(H36:J36)</f>
        <v>724.5</v>
      </c>
      <c r="L36" s="111">
        <f>H36*Inputs!$D$90+I36*Inputs!$D$91+J36*Inputs!$D$92</f>
        <v>36197.784000000007</v>
      </c>
    </row>
    <row r="37" spans="2:12" ht="12" customHeight="1" x14ac:dyDescent="0.2">
      <c r="B37" s="199"/>
      <c r="C37" s="48"/>
      <c r="D37" s="103"/>
      <c r="E37" s="49" t="s">
        <v>214</v>
      </c>
      <c r="F37" s="109">
        <f>'YR2'!E77*'YR2'!G77</f>
        <v>0</v>
      </c>
      <c r="G37" s="117">
        <v>5</v>
      </c>
      <c r="H37" s="118">
        <f t="shared" si="9"/>
        <v>0</v>
      </c>
      <c r="I37" s="118">
        <f t="shared" si="10"/>
        <v>0</v>
      </c>
      <c r="J37" s="118">
        <f t="shared" si="11"/>
        <v>0</v>
      </c>
      <c r="K37" s="110">
        <f t="shared" si="12"/>
        <v>0</v>
      </c>
      <c r="L37" s="111">
        <f>H37*Inputs!$D$90+I37*Inputs!$D$91+J37*Inputs!$D$92</f>
        <v>0</v>
      </c>
    </row>
    <row r="38" spans="2:12" ht="12" customHeight="1" x14ac:dyDescent="0.2">
      <c r="B38" s="199"/>
      <c r="C38" s="48"/>
      <c r="D38" s="103"/>
      <c r="E38" s="49" t="s">
        <v>215</v>
      </c>
      <c r="F38" s="109">
        <f>'YR2'!E78*'YR2'!G78</f>
        <v>504</v>
      </c>
      <c r="G38" s="117">
        <v>2</v>
      </c>
      <c r="H38" s="118">
        <f t="shared" si="9"/>
        <v>1008</v>
      </c>
      <c r="I38" s="118">
        <f t="shared" si="10"/>
        <v>50.400000000000006</v>
      </c>
      <c r="J38" s="118">
        <f t="shared" si="11"/>
        <v>100.80000000000001</v>
      </c>
      <c r="K38" s="110">
        <f t="shared" si="12"/>
        <v>1159.2</v>
      </c>
      <c r="L38" s="111">
        <f>H38*Inputs!$D$90+I38*Inputs!$D$91+J38*Inputs!$D$92</f>
        <v>57916.45440000001</v>
      </c>
    </row>
    <row r="39" spans="2:12" ht="12" customHeight="1" x14ac:dyDescent="0.2">
      <c r="B39" s="200"/>
      <c r="C39" s="46" t="s">
        <v>27</v>
      </c>
      <c r="D39" s="47" t="s">
        <v>28</v>
      </c>
      <c r="E39" s="47"/>
      <c r="F39" s="119">
        <v>1</v>
      </c>
      <c r="G39" s="118">
        <v>10</v>
      </c>
      <c r="H39" s="118">
        <f t="shared" si="0"/>
        <v>10</v>
      </c>
      <c r="I39" s="118">
        <f t="shared" si="10"/>
        <v>0.5</v>
      </c>
      <c r="J39" s="118">
        <f t="shared" si="11"/>
        <v>1</v>
      </c>
      <c r="K39" s="110">
        <f t="shared" si="3"/>
        <v>11.5</v>
      </c>
      <c r="L39" s="111">
        <f>H39*Inputs!$D$90+I39*Inputs!$D$91+J39*Inputs!$D$92</f>
        <v>574.56799999999998</v>
      </c>
    </row>
    <row r="40" spans="2:12" ht="12" customHeight="1" thickBot="1" x14ac:dyDescent="0.25">
      <c r="B40" s="201" t="s">
        <v>50</v>
      </c>
      <c r="C40" s="41" t="s">
        <v>29</v>
      </c>
      <c r="D40" s="42"/>
      <c r="E40" s="42"/>
      <c r="F40" s="43"/>
      <c r="G40" s="37"/>
      <c r="H40" s="37"/>
      <c r="I40" s="44">
        <f>IF(F8=0,"$0",1*3.75*75+600)</f>
        <v>881.25</v>
      </c>
      <c r="J40" s="45" t="s">
        <v>30</v>
      </c>
      <c r="K40" s="45"/>
      <c r="L40" s="38">
        <f>IF(ISTEXT(I40),0,F8*I40)</f>
        <v>26437.5</v>
      </c>
    </row>
    <row r="41" spans="2:12" ht="12" customHeight="1" thickTop="1" x14ac:dyDescent="0.2">
      <c r="B41" s="202"/>
      <c r="C41" s="203" t="s">
        <v>31</v>
      </c>
      <c r="D41" s="204"/>
      <c r="E41" s="204"/>
      <c r="F41" s="205"/>
      <c r="G41" s="206"/>
      <c r="H41" s="207">
        <f>SUM(H6:H39)</f>
        <v>4988.21</v>
      </c>
      <c r="I41" s="207">
        <f>SUM(I6:I39)</f>
        <v>249.41050000000007</v>
      </c>
      <c r="J41" s="207">
        <f>SUM(J6:J39)</f>
        <v>498.82100000000014</v>
      </c>
      <c r="K41" s="207">
        <f>SUM(K6:K39)</f>
        <v>5736.441499999999</v>
      </c>
      <c r="L41" s="208">
        <f>SUM(L6:L40)</f>
        <v>313044.08432800003</v>
      </c>
    </row>
    <row r="42" spans="2:12" ht="12" customHeight="1" x14ac:dyDescent="0.2">
      <c r="B42" s="8"/>
      <c r="C42" s="8"/>
      <c r="D42" s="8"/>
      <c r="E42" s="8"/>
      <c r="F42" s="8"/>
      <c r="G42" s="14"/>
      <c r="H42" s="15"/>
      <c r="I42" s="15"/>
      <c r="J42" s="15"/>
      <c r="K42" s="15"/>
      <c r="L42" s="15"/>
    </row>
    <row r="43" spans="2:12" ht="12" customHeight="1" x14ac:dyDescent="0.2">
      <c r="B43" s="39" t="s">
        <v>86</v>
      </c>
      <c r="C43" s="39"/>
      <c r="D43" s="8"/>
      <c r="E43" s="8"/>
      <c r="F43" s="8"/>
      <c r="G43" s="14"/>
      <c r="H43" s="15"/>
      <c r="I43" s="15"/>
      <c r="J43" s="15"/>
      <c r="K43" s="15"/>
      <c r="L43" s="15"/>
    </row>
    <row r="44" spans="2:12" ht="12" customHeight="1" x14ac:dyDescent="0.2">
      <c r="B44" s="303" t="s">
        <v>304</v>
      </c>
      <c r="C44" s="303"/>
      <c r="D44" s="303"/>
      <c r="E44" s="303"/>
      <c r="F44" s="303"/>
      <c r="G44" s="303"/>
      <c r="H44" s="303"/>
      <c r="I44" s="303"/>
      <c r="J44" s="303"/>
      <c r="K44" s="303"/>
      <c r="L44" s="303"/>
    </row>
    <row r="45" spans="2:12" ht="25.15" customHeight="1" x14ac:dyDescent="0.2">
      <c r="B45" s="304" t="s">
        <v>305</v>
      </c>
      <c r="C45" s="304"/>
      <c r="D45" s="304"/>
      <c r="E45" s="304"/>
      <c r="F45" s="304"/>
      <c r="G45" s="304"/>
      <c r="H45" s="304"/>
      <c r="I45" s="304"/>
      <c r="J45" s="304"/>
      <c r="K45" s="304"/>
      <c r="L45" s="304"/>
    </row>
    <row r="46" spans="2:12" ht="12" customHeight="1" x14ac:dyDescent="0.2">
      <c r="B46" s="40"/>
      <c r="C46" s="39"/>
      <c r="D46" s="8"/>
      <c r="E46" s="8"/>
      <c r="F46" s="8"/>
      <c r="G46" s="14"/>
      <c r="H46" s="15"/>
      <c r="I46" s="15"/>
      <c r="J46" s="15"/>
      <c r="K46" s="15"/>
      <c r="L46" s="15"/>
    </row>
    <row r="47" spans="2:12" ht="12" customHeight="1" x14ac:dyDescent="0.2">
      <c r="B47" s="40"/>
      <c r="C47" s="39"/>
      <c r="D47" s="8"/>
      <c r="E47" s="8"/>
      <c r="F47" s="8"/>
      <c r="G47" s="14"/>
      <c r="H47" s="15"/>
      <c r="I47" s="15"/>
      <c r="J47" s="15"/>
      <c r="K47" s="15"/>
      <c r="L47" s="15"/>
    </row>
    <row r="48" spans="2:12" ht="12" customHeight="1" x14ac:dyDescent="0.2">
      <c r="B48" s="40"/>
      <c r="C48" s="39"/>
    </row>
    <row r="49" spans="2:2" x14ac:dyDescent="0.2">
      <c r="B49" s="17"/>
    </row>
    <row r="50" spans="2:2" x14ac:dyDescent="0.2">
      <c r="B50" s="17"/>
    </row>
    <row r="51" spans="2:2" x14ac:dyDescent="0.2">
      <c r="B51" s="17"/>
    </row>
    <row r="52" spans="2:2" x14ac:dyDescent="0.2">
      <c r="B52" s="17"/>
    </row>
    <row r="65" spans="21:24" x14ac:dyDescent="0.2">
      <c r="U65" s="298" t="s">
        <v>32</v>
      </c>
      <c r="V65" s="298"/>
      <c r="W65" s="298"/>
      <c r="X65" s="26">
        <v>0.2</v>
      </c>
    </row>
    <row r="66" spans="21:24" x14ac:dyDescent="0.2">
      <c r="U66" s="298" t="s">
        <v>33</v>
      </c>
      <c r="V66" s="298"/>
      <c r="W66" s="298"/>
      <c r="X66" s="26">
        <v>0.1</v>
      </c>
    </row>
    <row r="67" spans="21:24" x14ac:dyDescent="0.2">
      <c r="U67" s="298" t="s">
        <v>34</v>
      </c>
      <c r="V67" s="298"/>
      <c r="W67" s="298"/>
      <c r="X67" s="26">
        <v>0.1</v>
      </c>
    </row>
  </sheetData>
  <sheetProtection algorithmName="SHA-512" hashValue="ujoNeWKG8BQXhYJKOMsBRxSpGFxXpHVqBQ1ZRQroSd+HRJV65nXhY7jf/2Gza9WH6LyqQ03NohqUeG5IXRj+uA==" saltValue="jxy+lbbTM0r4+eHACRFW6g==" spinCount="100000" sheet="1" objects="1" scenarios="1"/>
  <mergeCells count="14">
    <mergeCell ref="U67:W67"/>
    <mergeCell ref="B2:L2"/>
    <mergeCell ref="B4:E4"/>
    <mergeCell ref="F5:L5"/>
    <mergeCell ref="F7:L7"/>
    <mergeCell ref="D8:E8"/>
    <mergeCell ref="F10:L10"/>
    <mergeCell ref="F11:L11"/>
    <mergeCell ref="F12:L12"/>
    <mergeCell ref="U65:W65"/>
    <mergeCell ref="U66:W66"/>
    <mergeCell ref="C6:E6"/>
    <mergeCell ref="B44:L44"/>
    <mergeCell ref="B45:L45"/>
  </mergeCells>
  <printOptions horizontalCentered="1"/>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EFE2-D1CC-49D7-A4D1-9AA3829AFD04}">
  <sheetPr>
    <tabColor rgb="FF00B050"/>
  </sheetPr>
  <dimension ref="B2:X67"/>
  <sheetViews>
    <sheetView zoomScaleNormal="100" workbookViewId="0"/>
  </sheetViews>
  <sheetFormatPr defaultColWidth="9.140625" defaultRowHeight="14.25" x14ac:dyDescent="0.2"/>
  <cols>
    <col min="1" max="1" width="4.140625" style="24" customWidth="1"/>
    <col min="2" max="4" width="3.140625" style="13" customWidth="1"/>
    <col min="5" max="5" width="31.28515625" style="13" customWidth="1"/>
    <col min="6" max="8" width="11.28515625" style="13" customWidth="1"/>
    <col min="9" max="9" width="11.5703125" style="13" bestFit="1" customWidth="1"/>
    <col min="10" max="10" width="10.42578125" style="13" bestFit="1" customWidth="1"/>
    <col min="11" max="11" width="10.140625" style="13" bestFit="1" customWidth="1"/>
    <col min="12" max="12" width="8.42578125" style="13" bestFit="1" customWidth="1"/>
    <col min="13" max="13" width="3.85546875" style="24" customWidth="1"/>
    <col min="14" max="16384" width="9.140625" style="24"/>
  </cols>
  <sheetData>
    <row r="2" spans="2:12" ht="15" x14ac:dyDescent="0.25">
      <c r="B2" s="307" t="s">
        <v>311</v>
      </c>
      <c r="C2" s="307"/>
      <c r="D2" s="307"/>
      <c r="E2" s="307"/>
      <c r="F2" s="307"/>
      <c r="G2" s="307"/>
      <c r="H2" s="307"/>
      <c r="I2" s="307"/>
      <c r="J2" s="307"/>
      <c r="K2" s="307"/>
      <c r="L2" s="307"/>
    </row>
    <row r="3" spans="2:12" x14ac:dyDescent="0.2">
      <c r="B3" s="187"/>
      <c r="C3" s="188"/>
      <c r="D3" s="188"/>
      <c r="E3" s="188"/>
      <c r="F3" s="189" t="s">
        <v>4</v>
      </c>
      <c r="G3" s="190" t="s">
        <v>5</v>
      </c>
      <c r="H3" s="191" t="s">
        <v>6</v>
      </c>
      <c r="I3" s="191" t="s">
        <v>7</v>
      </c>
      <c r="J3" s="191" t="s">
        <v>8</v>
      </c>
      <c r="K3" s="192" t="s">
        <v>9</v>
      </c>
      <c r="L3" s="192" t="s">
        <v>103</v>
      </c>
    </row>
    <row r="4" spans="2:12" ht="48.75" thickBot="1" x14ac:dyDescent="0.25">
      <c r="B4" s="308" t="s">
        <v>2</v>
      </c>
      <c r="C4" s="309"/>
      <c r="D4" s="309"/>
      <c r="E4" s="309"/>
      <c r="F4" s="105" t="s">
        <v>10</v>
      </c>
      <c r="G4" s="106" t="s">
        <v>101</v>
      </c>
      <c r="H4" s="107" t="s">
        <v>87</v>
      </c>
      <c r="I4" s="107" t="s">
        <v>88</v>
      </c>
      <c r="J4" s="107" t="s">
        <v>89</v>
      </c>
      <c r="K4" s="107" t="s">
        <v>102</v>
      </c>
      <c r="L4" s="107" t="s">
        <v>312</v>
      </c>
    </row>
    <row r="5" spans="2:12" ht="12" customHeight="1" thickTop="1" x14ac:dyDescent="0.2">
      <c r="B5" s="193" t="s">
        <v>11</v>
      </c>
      <c r="C5" s="27" t="s">
        <v>12</v>
      </c>
      <c r="D5" s="28"/>
      <c r="E5" s="28"/>
      <c r="F5" s="310" t="s">
        <v>13</v>
      </c>
      <c r="G5" s="311"/>
      <c r="H5" s="311"/>
      <c r="I5" s="311"/>
      <c r="J5" s="311"/>
      <c r="K5" s="311"/>
      <c r="L5" s="311"/>
    </row>
    <row r="6" spans="2:12" ht="12" customHeight="1" x14ac:dyDescent="0.2">
      <c r="B6" s="194" t="s">
        <v>14</v>
      </c>
      <c r="C6" s="312" t="s">
        <v>302</v>
      </c>
      <c r="D6" s="312"/>
      <c r="E6" s="312"/>
      <c r="F6" s="149">
        <v>0</v>
      </c>
      <c r="G6" s="110">
        <v>24</v>
      </c>
      <c r="H6" s="110">
        <f>(F6*G6)</f>
        <v>0</v>
      </c>
      <c r="I6" s="110">
        <f>H6*0.05</f>
        <v>0</v>
      </c>
      <c r="J6" s="110">
        <f>H6*0.1</f>
        <v>0</v>
      </c>
      <c r="K6" s="110">
        <f>SUM(H6:J6)</f>
        <v>0</v>
      </c>
      <c r="L6" s="111">
        <f>H6*Inputs!$D$90+I6*Inputs!$D$91+J6*Inputs!$D$92</f>
        <v>0</v>
      </c>
    </row>
    <row r="7" spans="2:12" ht="12" customHeight="1" x14ac:dyDescent="0.2">
      <c r="B7" s="195" t="s">
        <v>15</v>
      </c>
      <c r="C7" s="29" t="s">
        <v>16</v>
      </c>
      <c r="D7" s="29"/>
      <c r="E7" s="29"/>
      <c r="F7" s="299"/>
      <c r="G7" s="300"/>
      <c r="H7" s="300"/>
      <c r="I7" s="300"/>
      <c r="J7" s="300"/>
      <c r="K7" s="300"/>
      <c r="L7" s="300"/>
    </row>
    <row r="8" spans="2:12" ht="12" customHeight="1" x14ac:dyDescent="0.2">
      <c r="B8" s="196">
        <v>0.08</v>
      </c>
      <c r="C8" s="30" t="s">
        <v>17</v>
      </c>
      <c r="D8" s="305" t="s">
        <v>18</v>
      </c>
      <c r="E8" s="306"/>
      <c r="F8" s="112">
        <f>'YR3'!G19+'YR3'!G28+'YR3'!G43</f>
        <v>30</v>
      </c>
      <c r="G8" s="113">
        <v>16</v>
      </c>
      <c r="H8" s="114">
        <f>(F8*G8)</f>
        <v>480</v>
      </c>
      <c r="I8" s="114">
        <f>H8*0.05</f>
        <v>24</v>
      </c>
      <c r="J8" s="114">
        <f>H8*0.1</f>
        <v>48</v>
      </c>
      <c r="K8" s="110">
        <f>SUM(H8:J8)</f>
        <v>552</v>
      </c>
      <c r="L8" s="111">
        <f>H8*Inputs!$D$90+I8*Inputs!$D$91+J8*Inputs!$D$92</f>
        <v>27579.264000000003</v>
      </c>
    </row>
    <row r="9" spans="2:12" ht="12" customHeight="1" x14ac:dyDescent="0.2">
      <c r="B9" s="197">
        <f>0.1*0.1</f>
        <v>1.0000000000000002E-2</v>
      </c>
      <c r="C9" s="31" t="s">
        <v>19</v>
      </c>
      <c r="D9" s="32" t="s">
        <v>20</v>
      </c>
      <c r="E9" s="32"/>
      <c r="F9" s="150">
        <v>0</v>
      </c>
      <c r="G9" s="115">
        <v>24</v>
      </c>
      <c r="H9" s="116">
        <f>(F9*G9)</f>
        <v>0</v>
      </c>
      <c r="I9" s="116">
        <f>H9*0.05</f>
        <v>0</v>
      </c>
      <c r="J9" s="116">
        <f>H9*0.1</f>
        <v>0</v>
      </c>
      <c r="K9" s="110">
        <f>SUM(H9:J9)</f>
        <v>0</v>
      </c>
      <c r="L9" s="111">
        <f>H9*Inputs!$D$90+I9*Inputs!$D$91+J9*Inputs!$D$92</f>
        <v>0</v>
      </c>
    </row>
    <row r="10" spans="2:12" ht="12" customHeight="1" x14ac:dyDescent="0.2">
      <c r="B10" s="197"/>
      <c r="C10" s="33" t="s">
        <v>21</v>
      </c>
      <c r="D10" s="27" t="s">
        <v>22</v>
      </c>
      <c r="E10" s="27"/>
      <c r="F10" s="299" t="s">
        <v>13</v>
      </c>
      <c r="G10" s="300"/>
      <c r="H10" s="300"/>
      <c r="I10" s="300"/>
      <c r="J10" s="300"/>
      <c r="K10" s="300"/>
      <c r="L10" s="300"/>
    </row>
    <row r="11" spans="2:12" ht="12" customHeight="1" x14ac:dyDescent="0.2">
      <c r="B11" s="196"/>
      <c r="C11" s="34" t="s">
        <v>23</v>
      </c>
      <c r="D11" s="35" t="s">
        <v>24</v>
      </c>
      <c r="E11" s="35"/>
      <c r="F11" s="301" t="s">
        <v>13</v>
      </c>
      <c r="G11" s="302"/>
      <c r="H11" s="302"/>
      <c r="I11" s="302"/>
      <c r="J11" s="302"/>
      <c r="K11" s="302"/>
      <c r="L11" s="302"/>
    </row>
    <row r="12" spans="2:12" ht="12" customHeight="1" x14ac:dyDescent="0.2">
      <c r="B12" s="198"/>
      <c r="C12" s="36" t="s">
        <v>25</v>
      </c>
      <c r="D12" s="29" t="s">
        <v>26</v>
      </c>
      <c r="E12" s="29"/>
      <c r="F12" s="299"/>
      <c r="G12" s="300"/>
      <c r="H12" s="300"/>
      <c r="I12" s="300"/>
      <c r="J12" s="300"/>
      <c r="K12" s="300"/>
      <c r="L12" s="300"/>
    </row>
    <row r="13" spans="2:12" ht="12" customHeight="1" x14ac:dyDescent="0.2">
      <c r="B13" s="199"/>
      <c r="C13" s="48"/>
      <c r="D13" s="103" t="s">
        <v>11</v>
      </c>
      <c r="E13" s="47" t="s">
        <v>131</v>
      </c>
      <c r="F13" s="109"/>
      <c r="G13" s="117"/>
      <c r="H13" s="118"/>
      <c r="I13" s="118"/>
      <c r="J13" s="118"/>
      <c r="K13" s="110"/>
      <c r="L13" s="111"/>
    </row>
    <row r="14" spans="2:12" ht="12" customHeight="1" x14ac:dyDescent="0.2">
      <c r="B14" s="199"/>
      <c r="C14" s="48"/>
      <c r="D14" s="103"/>
      <c r="E14" s="47" t="s">
        <v>108</v>
      </c>
      <c r="F14" s="109">
        <f>'YR3'!E55*'YR3'!G55</f>
        <v>140</v>
      </c>
      <c r="G14" s="117">
        <v>2</v>
      </c>
      <c r="H14" s="118">
        <f t="shared" ref="H14:H39" si="0">(F14*G14)</f>
        <v>280</v>
      </c>
      <c r="I14" s="118">
        <f t="shared" ref="I14:I34" si="1">H14*0.05</f>
        <v>14</v>
      </c>
      <c r="J14" s="118">
        <f t="shared" ref="J14:J34" si="2">H14*0.1</f>
        <v>28</v>
      </c>
      <c r="K14" s="110">
        <f t="shared" ref="K14:K39" si="3">SUM(H14:J14)</f>
        <v>322</v>
      </c>
      <c r="L14" s="111">
        <f>H14*Inputs!$D$90+I14*Inputs!$D$91+J14*Inputs!$D$92</f>
        <v>16087.904</v>
      </c>
    </row>
    <row r="15" spans="2:12" ht="12" customHeight="1" x14ac:dyDescent="0.2">
      <c r="B15" s="199"/>
      <c r="C15" s="48"/>
      <c r="D15" s="103"/>
      <c r="E15" s="47" t="s">
        <v>109</v>
      </c>
      <c r="F15" s="109">
        <f>'YR3'!E56*'YR3'!G56</f>
        <v>140</v>
      </c>
      <c r="G15" s="117">
        <v>2</v>
      </c>
      <c r="H15" s="118">
        <f t="shared" si="0"/>
        <v>280</v>
      </c>
      <c r="I15" s="118">
        <f t="shared" si="1"/>
        <v>14</v>
      </c>
      <c r="J15" s="118">
        <f t="shared" si="2"/>
        <v>28</v>
      </c>
      <c r="K15" s="110">
        <f t="shared" si="3"/>
        <v>322</v>
      </c>
      <c r="L15" s="111">
        <f>H15*Inputs!$D$90+I15*Inputs!$D$91+J15*Inputs!$D$92</f>
        <v>16087.904</v>
      </c>
    </row>
    <row r="16" spans="2:12" ht="12" customHeight="1" x14ac:dyDescent="0.2">
      <c r="B16" s="199"/>
      <c r="C16" s="48"/>
      <c r="D16" s="103"/>
      <c r="E16" s="47" t="s">
        <v>231</v>
      </c>
      <c r="F16" s="109">
        <f>'YR3'!E57*'YR3'!G57</f>
        <v>140</v>
      </c>
      <c r="G16" s="117">
        <v>2</v>
      </c>
      <c r="H16" s="118">
        <f t="shared" si="0"/>
        <v>280</v>
      </c>
      <c r="I16" s="118">
        <f t="shared" si="1"/>
        <v>14</v>
      </c>
      <c r="J16" s="118">
        <f t="shared" si="2"/>
        <v>28</v>
      </c>
      <c r="K16" s="110">
        <f t="shared" si="3"/>
        <v>322</v>
      </c>
      <c r="L16" s="111">
        <f>H16*Inputs!$D$90+I16*Inputs!$D$91+J16*Inputs!$D$92</f>
        <v>16087.904</v>
      </c>
    </row>
    <row r="17" spans="2:12" ht="12" customHeight="1" x14ac:dyDescent="0.2">
      <c r="B17" s="199"/>
      <c r="C17" s="48"/>
      <c r="D17" s="103"/>
      <c r="E17" s="47" t="s">
        <v>232</v>
      </c>
      <c r="F17" s="109">
        <f>'YR3'!E58*'YR3'!G58</f>
        <v>140</v>
      </c>
      <c r="G17" s="117">
        <v>2</v>
      </c>
      <c r="H17" s="118">
        <f>(F17*G17)</f>
        <v>280</v>
      </c>
      <c r="I17" s="118">
        <f t="shared" si="1"/>
        <v>14</v>
      </c>
      <c r="J17" s="118">
        <f t="shared" si="2"/>
        <v>28</v>
      </c>
      <c r="K17" s="110">
        <f t="shared" si="3"/>
        <v>322</v>
      </c>
      <c r="L17" s="111">
        <f>H17*Inputs!$D$90+I17*Inputs!$D$91+J17*Inputs!$D$92</f>
        <v>16087.904</v>
      </c>
    </row>
    <row r="18" spans="2:12" ht="12" customHeight="1" x14ac:dyDescent="0.2">
      <c r="B18" s="199"/>
      <c r="C18" s="48"/>
      <c r="D18" s="103"/>
      <c r="E18" s="47" t="s">
        <v>208</v>
      </c>
      <c r="F18" s="109">
        <f>'YR3'!E59*'YR3'!G59</f>
        <v>2</v>
      </c>
      <c r="G18" s="117">
        <v>2</v>
      </c>
      <c r="H18" s="118">
        <f t="shared" ref="H18:H21" si="4">(F18*G18)</f>
        <v>4</v>
      </c>
      <c r="I18" s="118">
        <f t="shared" si="1"/>
        <v>0.2</v>
      </c>
      <c r="J18" s="118">
        <f t="shared" si="2"/>
        <v>0.4</v>
      </c>
      <c r="K18" s="110">
        <f t="shared" si="3"/>
        <v>4.6000000000000005</v>
      </c>
      <c r="L18" s="111">
        <f>H18*Inputs!$D$90+I18*Inputs!$D$91+J18*Inputs!$D$92</f>
        <v>229.8272</v>
      </c>
    </row>
    <row r="19" spans="2:12" ht="12" customHeight="1" x14ac:dyDescent="0.2">
      <c r="B19" s="199"/>
      <c r="C19" s="48"/>
      <c r="D19" s="103"/>
      <c r="E19" s="47" t="s">
        <v>233</v>
      </c>
      <c r="F19" s="109">
        <f>'YR3'!E60*'YR3'!G60</f>
        <v>17</v>
      </c>
      <c r="G19" s="117">
        <v>2</v>
      </c>
      <c r="H19" s="118">
        <f t="shared" si="4"/>
        <v>34</v>
      </c>
      <c r="I19" s="118">
        <f t="shared" si="1"/>
        <v>1.7000000000000002</v>
      </c>
      <c r="J19" s="118">
        <f t="shared" si="2"/>
        <v>3.4000000000000004</v>
      </c>
      <c r="K19" s="110">
        <f t="shared" si="3"/>
        <v>39.1</v>
      </c>
      <c r="L19" s="111">
        <f>H19*Inputs!$D$90+I19*Inputs!$D$91+J19*Inputs!$D$92</f>
        <v>1953.5312000000001</v>
      </c>
    </row>
    <row r="20" spans="2:12" ht="12" customHeight="1" x14ac:dyDescent="0.2">
      <c r="B20" s="199"/>
      <c r="C20" s="48"/>
      <c r="D20" s="103"/>
      <c r="E20" s="47" t="s">
        <v>234</v>
      </c>
      <c r="F20" s="109">
        <f>'YR3'!E61*'YR3'!G61</f>
        <v>7</v>
      </c>
      <c r="G20" s="117">
        <v>2</v>
      </c>
      <c r="H20" s="118">
        <f t="shared" si="4"/>
        <v>14</v>
      </c>
      <c r="I20" s="118">
        <f t="shared" si="1"/>
        <v>0.70000000000000007</v>
      </c>
      <c r="J20" s="118">
        <f t="shared" si="2"/>
        <v>1.4000000000000001</v>
      </c>
      <c r="K20" s="110">
        <f t="shared" si="3"/>
        <v>16.099999999999998</v>
      </c>
      <c r="L20" s="111">
        <f>H20*Inputs!$D$90+I20*Inputs!$D$91+J20*Inputs!$D$92</f>
        <v>804.39520000000005</v>
      </c>
    </row>
    <row r="21" spans="2:12" ht="12" customHeight="1" x14ac:dyDescent="0.2">
      <c r="B21" s="199"/>
      <c r="C21" s="48"/>
      <c r="D21" s="103"/>
      <c r="E21" s="47" t="s">
        <v>235</v>
      </c>
      <c r="F21" s="109">
        <f>'YR3'!E62*'YR3'!G62</f>
        <v>17</v>
      </c>
      <c r="G21" s="117">
        <v>2</v>
      </c>
      <c r="H21" s="118">
        <f t="shared" si="4"/>
        <v>34</v>
      </c>
      <c r="I21" s="118">
        <f t="shared" si="1"/>
        <v>1.7000000000000002</v>
      </c>
      <c r="J21" s="118">
        <f t="shared" si="2"/>
        <v>3.4000000000000004</v>
      </c>
      <c r="K21" s="110">
        <f t="shared" si="3"/>
        <v>39.1</v>
      </c>
      <c r="L21" s="111">
        <f>H21*Inputs!$D$90+I21*Inputs!$D$91+J21*Inputs!$D$92</f>
        <v>1953.5312000000001</v>
      </c>
    </row>
    <row r="22" spans="2:12" ht="12" customHeight="1" x14ac:dyDescent="0.2">
      <c r="B22" s="199"/>
      <c r="C22" s="48"/>
      <c r="D22" s="103" t="s">
        <v>14</v>
      </c>
      <c r="E22" s="49" t="s">
        <v>158</v>
      </c>
      <c r="F22" s="109"/>
      <c r="G22" s="117"/>
      <c r="H22" s="118"/>
      <c r="I22" s="118"/>
      <c r="J22" s="118"/>
      <c r="K22" s="110"/>
      <c r="L22" s="111"/>
    </row>
    <row r="23" spans="2:12" ht="12" customHeight="1" x14ac:dyDescent="0.2">
      <c r="B23" s="199"/>
      <c r="C23" s="48"/>
      <c r="D23" s="103"/>
      <c r="E23" s="49" t="s">
        <v>108</v>
      </c>
      <c r="F23" s="109">
        <f>'YR3'!E64*'YR3'!G64</f>
        <v>280</v>
      </c>
      <c r="G23" s="117">
        <v>2</v>
      </c>
      <c r="H23" s="118">
        <f t="shared" ref="H23:H33" si="5">(F23*G23)</f>
        <v>560</v>
      </c>
      <c r="I23" s="118">
        <f t="shared" ref="I23:I33" si="6">H23*0.05</f>
        <v>28</v>
      </c>
      <c r="J23" s="118">
        <f t="shared" ref="J23:J33" si="7">H23*0.1</f>
        <v>56</v>
      </c>
      <c r="K23" s="110">
        <f t="shared" ref="K23:K33" si="8">SUM(H23:J23)</f>
        <v>644</v>
      </c>
      <c r="L23" s="111">
        <f>H23*Inputs!$D$90+I23*Inputs!$D$91+J23*Inputs!$D$92</f>
        <v>32175.808000000001</v>
      </c>
    </row>
    <row r="24" spans="2:12" ht="12" customHeight="1" x14ac:dyDescent="0.2">
      <c r="B24" s="199"/>
      <c r="C24" s="48"/>
      <c r="D24" s="103"/>
      <c r="E24" s="49" t="s">
        <v>109</v>
      </c>
      <c r="F24" s="109">
        <f>'YR3'!E65*'YR3'!G65</f>
        <v>280</v>
      </c>
      <c r="G24" s="117">
        <v>2</v>
      </c>
      <c r="H24" s="118">
        <f t="shared" si="5"/>
        <v>560</v>
      </c>
      <c r="I24" s="118">
        <f t="shared" si="6"/>
        <v>28</v>
      </c>
      <c r="J24" s="118">
        <f t="shared" si="7"/>
        <v>56</v>
      </c>
      <c r="K24" s="110">
        <f t="shared" si="8"/>
        <v>644</v>
      </c>
      <c r="L24" s="111">
        <f>H24*Inputs!$D$90+I24*Inputs!$D$91+J24*Inputs!$D$92</f>
        <v>32175.808000000001</v>
      </c>
    </row>
    <row r="25" spans="2:12" ht="12" customHeight="1" x14ac:dyDescent="0.2">
      <c r="B25" s="199"/>
      <c r="C25" s="48"/>
      <c r="D25" s="103"/>
      <c r="E25" s="49" t="s">
        <v>154</v>
      </c>
      <c r="F25" s="109">
        <f>'YR3'!E66*'YR3'!G66</f>
        <v>280</v>
      </c>
      <c r="G25" s="117">
        <v>2</v>
      </c>
      <c r="H25" s="118">
        <f t="shared" si="5"/>
        <v>560</v>
      </c>
      <c r="I25" s="118">
        <f t="shared" si="6"/>
        <v>28</v>
      </c>
      <c r="J25" s="118">
        <f t="shared" si="7"/>
        <v>56</v>
      </c>
      <c r="K25" s="110">
        <f t="shared" si="8"/>
        <v>644</v>
      </c>
      <c r="L25" s="111">
        <f>H25*Inputs!$D$90+I25*Inputs!$D$91+J25*Inputs!$D$92</f>
        <v>32175.808000000001</v>
      </c>
    </row>
    <row r="26" spans="2:12" ht="12" customHeight="1" x14ac:dyDescent="0.2">
      <c r="B26" s="199"/>
      <c r="C26" s="48"/>
      <c r="D26" s="103"/>
      <c r="E26" s="49" t="s">
        <v>155</v>
      </c>
      <c r="F26" s="109">
        <f>'YR3'!E67*'YR3'!G67</f>
        <v>0</v>
      </c>
      <c r="G26" s="117">
        <v>2</v>
      </c>
      <c r="H26" s="118">
        <f t="shared" si="5"/>
        <v>0</v>
      </c>
      <c r="I26" s="118">
        <f t="shared" si="6"/>
        <v>0</v>
      </c>
      <c r="J26" s="118">
        <f t="shared" si="7"/>
        <v>0</v>
      </c>
      <c r="K26" s="110">
        <f t="shared" si="8"/>
        <v>0</v>
      </c>
      <c r="L26" s="111">
        <f>H26*Inputs!$D$90+I26*Inputs!$D$91+J26*Inputs!$D$92</f>
        <v>0</v>
      </c>
    </row>
    <row r="27" spans="2:12" ht="12" customHeight="1" x14ac:dyDescent="0.2">
      <c r="B27" s="199"/>
      <c r="C27" s="48"/>
      <c r="D27" s="103"/>
      <c r="E27" s="49" t="s">
        <v>128</v>
      </c>
      <c r="F27" s="109">
        <f>'YR3'!E68*'YR3'!G68</f>
        <v>280</v>
      </c>
      <c r="G27" s="117">
        <v>2</v>
      </c>
      <c r="H27" s="118">
        <f t="shared" si="5"/>
        <v>560</v>
      </c>
      <c r="I27" s="118">
        <f t="shared" si="6"/>
        <v>28</v>
      </c>
      <c r="J27" s="118">
        <f t="shared" si="7"/>
        <v>56</v>
      </c>
      <c r="K27" s="110">
        <f t="shared" si="8"/>
        <v>644</v>
      </c>
      <c r="L27" s="111">
        <f>H27*Inputs!$D$90+I27*Inputs!$D$91+J27*Inputs!$D$92</f>
        <v>32175.808000000001</v>
      </c>
    </row>
    <row r="28" spans="2:12" ht="12" customHeight="1" x14ac:dyDescent="0.2">
      <c r="B28" s="199"/>
      <c r="C28" s="48"/>
      <c r="D28" s="103"/>
      <c r="E28" s="49" t="s">
        <v>209</v>
      </c>
      <c r="F28" s="109">
        <f>'YR3'!E69*'YR3'!G69</f>
        <v>280</v>
      </c>
      <c r="G28" s="117">
        <v>2</v>
      </c>
      <c r="H28" s="118">
        <f t="shared" si="5"/>
        <v>560</v>
      </c>
      <c r="I28" s="118">
        <f t="shared" si="6"/>
        <v>28</v>
      </c>
      <c r="J28" s="118">
        <f t="shared" si="7"/>
        <v>56</v>
      </c>
      <c r="K28" s="110">
        <f t="shared" si="8"/>
        <v>644</v>
      </c>
      <c r="L28" s="111">
        <f>H28*Inputs!$D$90+I28*Inputs!$D$91+J28*Inputs!$D$92</f>
        <v>32175.808000000001</v>
      </c>
    </row>
    <row r="29" spans="2:12" ht="12" customHeight="1" x14ac:dyDescent="0.2">
      <c r="B29" s="199"/>
      <c r="C29" s="48"/>
      <c r="D29" s="103"/>
      <c r="E29" s="49" t="s">
        <v>210</v>
      </c>
      <c r="F29" s="109">
        <f>'YR3'!E70*'YR3'!G70</f>
        <v>4</v>
      </c>
      <c r="G29" s="117">
        <v>2</v>
      </c>
      <c r="H29" s="118">
        <f t="shared" si="5"/>
        <v>8</v>
      </c>
      <c r="I29" s="118">
        <f t="shared" si="6"/>
        <v>0.4</v>
      </c>
      <c r="J29" s="118">
        <f t="shared" si="7"/>
        <v>0.8</v>
      </c>
      <c r="K29" s="110">
        <f t="shared" si="8"/>
        <v>9.2000000000000011</v>
      </c>
      <c r="L29" s="111">
        <f>H29*Inputs!$D$90+I29*Inputs!$D$91+J29*Inputs!$D$92</f>
        <v>459.65440000000001</v>
      </c>
    </row>
    <row r="30" spans="2:12" ht="12" customHeight="1" x14ac:dyDescent="0.2">
      <c r="B30" s="199"/>
      <c r="C30" s="48"/>
      <c r="D30" s="103"/>
      <c r="E30" s="49" t="s">
        <v>211</v>
      </c>
      <c r="F30" s="109">
        <f>'YR3'!E71*'YR3'!G71</f>
        <v>280</v>
      </c>
      <c r="G30" s="117">
        <v>2</v>
      </c>
      <c r="H30" s="118">
        <f t="shared" si="5"/>
        <v>560</v>
      </c>
      <c r="I30" s="118">
        <f t="shared" si="6"/>
        <v>28</v>
      </c>
      <c r="J30" s="118">
        <f t="shared" si="7"/>
        <v>56</v>
      </c>
      <c r="K30" s="110">
        <f t="shared" si="8"/>
        <v>644</v>
      </c>
      <c r="L30" s="111">
        <f>H30*Inputs!$D$90+I30*Inputs!$D$91+J30*Inputs!$D$92</f>
        <v>32175.808000000001</v>
      </c>
    </row>
    <row r="31" spans="2:12" ht="12" customHeight="1" x14ac:dyDescent="0.2">
      <c r="B31" s="199"/>
      <c r="C31" s="48"/>
      <c r="D31" s="103"/>
      <c r="E31" s="49" t="s">
        <v>236</v>
      </c>
      <c r="F31" s="109">
        <f>'YR3'!E72*'YR3'!G72</f>
        <v>14</v>
      </c>
      <c r="G31" s="117">
        <v>2</v>
      </c>
      <c r="H31" s="118">
        <f t="shared" si="5"/>
        <v>28</v>
      </c>
      <c r="I31" s="118">
        <f t="shared" si="6"/>
        <v>1.4000000000000001</v>
      </c>
      <c r="J31" s="118">
        <f t="shared" si="7"/>
        <v>2.8000000000000003</v>
      </c>
      <c r="K31" s="110">
        <f t="shared" si="8"/>
        <v>32.199999999999996</v>
      </c>
      <c r="L31" s="111">
        <f>H31*Inputs!$D$90+I31*Inputs!$D$91+J31*Inputs!$D$92</f>
        <v>1608.7904000000001</v>
      </c>
    </row>
    <row r="32" spans="2:12" ht="12" customHeight="1" x14ac:dyDescent="0.2">
      <c r="B32" s="199"/>
      <c r="C32" s="48"/>
      <c r="D32" s="103"/>
      <c r="E32" s="49" t="s">
        <v>237</v>
      </c>
      <c r="F32" s="109">
        <f>'YR3'!E73*'YR3'!G73</f>
        <v>34</v>
      </c>
      <c r="G32" s="117">
        <v>2</v>
      </c>
      <c r="H32" s="118">
        <f t="shared" si="5"/>
        <v>68</v>
      </c>
      <c r="I32" s="118">
        <f t="shared" si="6"/>
        <v>3.4000000000000004</v>
      </c>
      <c r="J32" s="118">
        <f t="shared" si="7"/>
        <v>6.8000000000000007</v>
      </c>
      <c r="K32" s="110">
        <f t="shared" si="8"/>
        <v>78.2</v>
      </c>
      <c r="L32" s="111">
        <f>H32*Inputs!$D$90+I32*Inputs!$D$91+J32*Inputs!$D$92</f>
        <v>3907.0624000000003</v>
      </c>
    </row>
    <row r="33" spans="2:12" ht="12" customHeight="1" x14ac:dyDescent="0.2">
      <c r="B33" s="199"/>
      <c r="C33" s="48"/>
      <c r="D33" s="103"/>
      <c r="E33" s="49" t="s">
        <v>212</v>
      </c>
      <c r="F33" s="109">
        <f>'YR3'!E74*'YR3'!G74</f>
        <v>34</v>
      </c>
      <c r="G33" s="117">
        <v>2</v>
      </c>
      <c r="H33" s="118">
        <f t="shared" si="5"/>
        <v>68</v>
      </c>
      <c r="I33" s="118">
        <f t="shared" si="6"/>
        <v>3.4000000000000004</v>
      </c>
      <c r="J33" s="118">
        <f t="shared" si="7"/>
        <v>6.8000000000000007</v>
      </c>
      <c r="K33" s="110">
        <f t="shared" si="8"/>
        <v>78.2</v>
      </c>
      <c r="L33" s="111">
        <f>H33*Inputs!$D$90+I33*Inputs!$D$91+J33*Inputs!$D$92</f>
        <v>3907.0624000000003</v>
      </c>
    </row>
    <row r="34" spans="2:12" ht="12" customHeight="1" x14ac:dyDescent="0.2">
      <c r="B34" s="199"/>
      <c r="C34" s="48"/>
      <c r="D34" s="103" t="s">
        <v>15</v>
      </c>
      <c r="E34" s="49" t="s">
        <v>130</v>
      </c>
      <c r="F34" s="109">
        <f>'YR3'!E92*'YR3'!G92</f>
        <v>140</v>
      </c>
      <c r="G34" s="117">
        <v>5</v>
      </c>
      <c r="H34" s="118">
        <f t="shared" si="0"/>
        <v>700</v>
      </c>
      <c r="I34" s="118">
        <f t="shared" si="1"/>
        <v>35</v>
      </c>
      <c r="J34" s="118">
        <f t="shared" si="2"/>
        <v>70</v>
      </c>
      <c r="K34" s="110">
        <f t="shared" si="3"/>
        <v>805</v>
      </c>
      <c r="L34" s="111">
        <f>H34*Inputs!$D$90+I34*Inputs!$D$91+J34*Inputs!$D$92</f>
        <v>40219.760000000002</v>
      </c>
    </row>
    <row r="35" spans="2:12" ht="12" customHeight="1" x14ac:dyDescent="0.2">
      <c r="B35" s="199"/>
      <c r="C35" s="48"/>
      <c r="D35" s="103" t="s">
        <v>50</v>
      </c>
      <c r="E35" s="49" t="s">
        <v>190</v>
      </c>
      <c r="F35" s="109"/>
      <c r="G35" s="117"/>
      <c r="H35" s="118"/>
      <c r="I35" s="118"/>
      <c r="J35" s="118"/>
      <c r="K35" s="110"/>
      <c r="L35" s="111"/>
    </row>
    <row r="36" spans="2:12" ht="12" customHeight="1" x14ac:dyDescent="0.2">
      <c r="B36" s="199"/>
      <c r="C36" s="48"/>
      <c r="D36" s="103"/>
      <c r="E36" s="49" t="s">
        <v>238</v>
      </c>
      <c r="F36" s="109">
        <f>'YR3'!E76*'YR3'!G76</f>
        <v>126</v>
      </c>
      <c r="G36" s="117">
        <v>5</v>
      </c>
      <c r="H36" s="118">
        <f t="shared" ref="H36:H38" si="9">(F36*G36)</f>
        <v>630</v>
      </c>
      <c r="I36" s="118">
        <f t="shared" ref="I36:I39" si="10">H36*0.05</f>
        <v>31.5</v>
      </c>
      <c r="J36" s="118">
        <f t="shared" ref="J36:J39" si="11">H36*0.1</f>
        <v>63</v>
      </c>
      <c r="K36" s="110">
        <f t="shared" ref="K36:K38" si="12">SUM(H36:J36)</f>
        <v>724.5</v>
      </c>
      <c r="L36" s="111">
        <f>H36*Inputs!$D$90+I36*Inputs!$D$91+J36*Inputs!$D$92</f>
        <v>36197.784000000007</v>
      </c>
    </row>
    <row r="37" spans="2:12" ht="12" customHeight="1" x14ac:dyDescent="0.2">
      <c r="B37" s="199"/>
      <c r="C37" s="48"/>
      <c r="D37" s="103"/>
      <c r="E37" s="49" t="s">
        <v>214</v>
      </c>
      <c r="F37" s="109">
        <f>'YR3'!E77*'YR3'!G77</f>
        <v>126</v>
      </c>
      <c r="G37" s="117">
        <v>5</v>
      </c>
      <c r="H37" s="118">
        <f t="shared" si="9"/>
        <v>630</v>
      </c>
      <c r="I37" s="118">
        <f t="shared" si="10"/>
        <v>31.5</v>
      </c>
      <c r="J37" s="118">
        <f t="shared" si="11"/>
        <v>63</v>
      </c>
      <c r="K37" s="110">
        <f t="shared" si="12"/>
        <v>724.5</v>
      </c>
      <c r="L37" s="111">
        <f>H37*Inputs!$D$90+I37*Inputs!$D$91+J37*Inputs!$D$92</f>
        <v>36197.784000000007</v>
      </c>
    </row>
    <row r="38" spans="2:12" ht="12" customHeight="1" x14ac:dyDescent="0.2">
      <c r="B38" s="199"/>
      <c r="C38" s="48"/>
      <c r="D38" s="103"/>
      <c r="E38" s="49" t="s">
        <v>215</v>
      </c>
      <c r="F38" s="109">
        <f>'YR3'!E78*'YR3'!G78</f>
        <v>504</v>
      </c>
      <c r="G38" s="117">
        <v>2</v>
      </c>
      <c r="H38" s="118">
        <f t="shared" si="9"/>
        <v>1008</v>
      </c>
      <c r="I38" s="118">
        <f t="shared" si="10"/>
        <v>50.400000000000006</v>
      </c>
      <c r="J38" s="118">
        <f t="shared" si="11"/>
        <v>100.80000000000001</v>
      </c>
      <c r="K38" s="110">
        <f t="shared" si="12"/>
        <v>1159.2</v>
      </c>
      <c r="L38" s="111">
        <f>H38*Inputs!$D$90+I38*Inputs!$D$91+J38*Inputs!$D$92</f>
        <v>57916.45440000001</v>
      </c>
    </row>
    <row r="39" spans="2:12" ht="12" customHeight="1" x14ac:dyDescent="0.2">
      <c r="B39" s="200"/>
      <c r="C39" s="46" t="s">
        <v>27</v>
      </c>
      <c r="D39" s="47" t="s">
        <v>28</v>
      </c>
      <c r="E39" s="47"/>
      <c r="F39" s="119">
        <v>1</v>
      </c>
      <c r="G39" s="118">
        <v>10</v>
      </c>
      <c r="H39" s="118">
        <f t="shared" si="0"/>
        <v>10</v>
      </c>
      <c r="I39" s="118">
        <f t="shared" si="10"/>
        <v>0.5</v>
      </c>
      <c r="J39" s="118">
        <f t="shared" si="11"/>
        <v>1</v>
      </c>
      <c r="K39" s="110">
        <f t="shared" si="3"/>
        <v>11.5</v>
      </c>
      <c r="L39" s="111">
        <f>H39*Inputs!$D$90+I39*Inputs!$D$91+J39*Inputs!$D$92</f>
        <v>574.56799999999998</v>
      </c>
    </row>
    <row r="40" spans="2:12" ht="12" customHeight="1" thickBot="1" x14ac:dyDescent="0.25">
      <c r="B40" s="201" t="s">
        <v>50</v>
      </c>
      <c r="C40" s="41" t="s">
        <v>29</v>
      </c>
      <c r="D40" s="42"/>
      <c r="E40" s="42"/>
      <c r="F40" s="43"/>
      <c r="G40" s="37"/>
      <c r="H40" s="37"/>
      <c r="I40" s="44">
        <f>IF(F8=0,"$0",1*3.75*75+600)</f>
        <v>881.25</v>
      </c>
      <c r="J40" s="45" t="s">
        <v>30</v>
      </c>
      <c r="K40" s="45"/>
      <c r="L40" s="38">
        <f>IF(ISTEXT(I40),0,F8*I40)</f>
        <v>26437.5</v>
      </c>
    </row>
    <row r="41" spans="2:12" ht="12" customHeight="1" thickTop="1" x14ac:dyDescent="0.2">
      <c r="B41" s="202"/>
      <c r="C41" s="203" t="s">
        <v>31</v>
      </c>
      <c r="D41" s="204"/>
      <c r="E41" s="204"/>
      <c r="F41" s="205"/>
      <c r="G41" s="206"/>
      <c r="H41" s="207">
        <f>SUM(H6:H39)</f>
        <v>8196</v>
      </c>
      <c r="I41" s="207">
        <f>SUM(I6:I39)</f>
        <v>409.79999999999995</v>
      </c>
      <c r="J41" s="207">
        <f>SUM(J6:J39)</f>
        <v>819.59999999999991</v>
      </c>
      <c r="K41" s="207">
        <f>SUM(K6:K39)</f>
        <v>9425.4</v>
      </c>
      <c r="L41" s="208">
        <f>SUM(L6:L40)</f>
        <v>497353.43279999995</v>
      </c>
    </row>
    <row r="42" spans="2:12" ht="12" customHeight="1" x14ac:dyDescent="0.2">
      <c r="B42" s="8"/>
      <c r="C42" s="8"/>
      <c r="D42" s="8"/>
      <c r="E42" s="8"/>
      <c r="F42" s="8"/>
      <c r="G42" s="14"/>
      <c r="H42" s="15"/>
      <c r="I42" s="15"/>
      <c r="J42" s="15"/>
      <c r="K42" s="15"/>
      <c r="L42" s="15"/>
    </row>
    <row r="43" spans="2:12" ht="12" customHeight="1" x14ac:dyDescent="0.2">
      <c r="B43" s="39" t="s">
        <v>86</v>
      </c>
      <c r="C43" s="39"/>
      <c r="D43" s="8"/>
      <c r="E43" s="8"/>
      <c r="F43" s="8"/>
      <c r="G43" s="14"/>
      <c r="H43" s="15"/>
      <c r="I43" s="15"/>
      <c r="J43" s="15"/>
      <c r="K43" s="15"/>
      <c r="L43" s="15"/>
    </row>
    <row r="44" spans="2:12" ht="12" customHeight="1" x14ac:dyDescent="0.2">
      <c r="B44" s="303" t="s">
        <v>304</v>
      </c>
      <c r="C44" s="303"/>
      <c r="D44" s="303"/>
      <c r="E44" s="303"/>
      <c r="F44" s="303"/>
      <c r="G44" s="303"/>
      <c r="H44" s="303"/>
      <c r="I44" s="303"/>
      <c r="J44" s="303"/>
      <c r="K44" s="303"/>
      <c r="L44" s="303"/>
    </row>
    <row r="45" spans="2:12" ht="25.15" customHeight="1" x14ac:dyDescent="0.2">
      <c r="B45" s="304" t="s">
        <v>305</v>
      </c>
      <c r="C45" s="304"/>
      <c r="D45" s="304"/>
      <c r="E45" s="304"/>
      <c r="F45" s="304"/>
      <c r="G45" s="304"/>
      <c r="H45" s="304"/>
      <c r="I45" s="304"/>
      <c r="J45" s="304"/>
      <c r="K45" s="304"/>
      <c r="L45" s="304"/>
    </row>
    <row r="46" spans="2:12" ht="12" customHeight="1" x14ac:dyDescent="0.2">
      <c r="B46" s="40"/>
      <c r="C46" s="39"/>
      <c r="D46" s="8"/>
      <c r="E46" s="8"/>
      <c r="F46" s="8"/>
      <c r="G46" s="14"/>
      <c r="H46" s="15"/>
      <c r="I46" s="15"/>
      <c r="J46" s="15"/>
      <c r="K46" s="15"/>
      <c r="L46" s="15"/>
    </row>
    <row r="47" spans="2:12" ht="12" customHeight="1" x14ac:dyDescent="0.2">
      <c r="B47" s="40"/>
      <c r="C47" s="39"/>
      <c r="D47" s="8"/>
      <c r="E47" s="8"/>
      <c r="F47" s="8"/>
      <c r="G47" s="14"/>
      <c r="H47" s="15"/>
      <c r="I47" s="15"/>
      <c r="J47" s="15"/>
      <c r="K47" s="15"/>
      <c r="L47" s="15"/>
    </row>
    <row r="48" spans="2:12" ht="12" customHeight="1" x14ac:dyDescent="0.2">
      <c r="B48" s="40"/>
      <c r="C48" s="39"/>
    </row>
    <row r="49" spans="2:2" x14ac:dyDescent="0.2">
      <c r="B49" s="17"/>
    </row>
    <row r="50" spans="2:2" x14ac:dyDescent="0.2">
      <c r="B50" s="17"/>
    </row>
    <row r="51" spans="2:2" x14ac:dyDescent="0.2">
      <c r="B51" s="17"/>
    </row>
    <row r="52" spans="2:2" x14ac:dyDescent="0.2">
      <c r="B52" s="17"/>
    </row>
    <row r="65" spans="21:24" x14ac:dyDescent="0.2">
      <c r="U65" s="298" t="s">
        <v>32</v>
      </c>
      <c r="V65" s="298"/>
      <c r="W65" s="298"/>
      <c r="X65" s="26">
        <v>0.2</v>
      </c>
    </row>
    <row r="66" spans="21:24" x14ac:dyDescent="0.2">
      <c r="U66" s="298" t="s">
        <v>33</v>
      </c>
      <c r="V66" s="298"/>
      <c r="W66" s="298"/>
      <c r="X66" s="26">
        <v>0.1</v>
      </c>
    </row>
    <row r="67" spans="21:24" x14ac:dyDescent="0.2">
      <c r="U67" s="298" t="s">
        <v>34</v>
      </c>
      <c r="V67" s="298"/>
      <c r="W67" s="298"/>
      <c r="X67" s="26">
        <v>0.1</v>
      </c>
    </row>
  </sheetData>
  <sheetProtection algorithmName="SHA-512" hashValue="lZN7VPPgPnIklLDM7gIm/MslcRizSOwcSjhThQujrE9PvUh05CrIr0RaxCXD9DnLYVEgqU5bAO2kQAJ29U75qg==" saltValue="yasCIbfg4dQK2C375RDu1g==" spinCount="100000" sheet="1" objects="1" scenarios="1"/>
  <mergeCells count="14">
    <mergeCell ref="U67:W67"/>
    <mergeCell ref="B2:L2"/>
    <mergeCell ref="B4:E4"/>
    <mergeCell ref="F5:L5"/>
    <mergeCell ref="F7:L7"/>
    <mergeCell ref="D8:E8"/>
    <mergeCell ref="F10:L10"/>
    <mergeCell ref="F11:L11"/>
    <mergeCell ref="F12:L12"/>
    <mergeCell ref="U65:W65"/>
    <mergeCell ref="U66:W66"/>
    <mergeCell ref="C6:E6"/>
    <mergeCell ref="B44:L44"/>
    <mergeCell ref="B45:L45"/>
  </mergeCells>
  <printOptions horizontalCentered="1"/>
  <pageMargins left="0.7" right="0.7" top="0.75" bottom="0.75" header="0.3" footer="0.3"/>
  <pageSetup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2020-04-20T15:13:55+00:00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46a8cd57-5784-4cac-a6bd-5ef783e3d2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F8BB3A7-C32D-438F-9174-DAE92224D4D4}">
  <ds:schemaRefs>
    <ds:schemaRef ds:uri="http://schemas.microsoft.com/sharepoint/v3/contenttype/forms"/>
  </ds:schemaRefs>
</ds:datastoreItem>
</file>

<file path=customXml/itemProps2.xml><?xml version="1.0" encoding="utf-8"?>
<ds:datastoreItem xmlns:ds="http://schemas.openxmlformats.org/officeDocument/2006/customXml" ds:itemID="{3958112E-49B8-41F9-8A27-72D8DA685FAC}">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46a8cd57-5784-4cac-a6bd-5ef783e3d2a5"/>
  </ds:schemaRefs>
</ds:datastoreItem>
</file>

<file path=customXml/itemProps3.xml><?xml version="1.0" encoding="utf-8"?>
<ds:datastoreItem xmlns:ds="http://schemas.openxmlformats.org/officeDocument/2006/customXml" ds:itemID="{D1693F08-3E11-46CA-A6B3-21301D424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42D58A-40C9-4AA2-BC7E-1A1545FC2E1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Inputs</vt:lpstr>
      <vt:lpstr>MemoTables</vt:lpstr>
      <vt:lpstr>YR1</vt:lpstr>
      <vt:lpstr>YR2</vt:lpstr>
      <vt:lpstr>YR3</vt:lpstr>
      <vt:lpstr>summary</vt:lpstr>
      <vt:lpstr>EPA_YR1</vt:lpstr>
      <vt:lpstr>EPA_YR2</vt:lpstr>
      <vt:lpstr>EPA_YR3</vt:lpstr>
      <vt:lpstr>EPA summary</vt:lpstr>
      <vt:lpstr>'EPA summary'!Print_Area</vt:lpstr>
      <vt:lpstr>EPA_YR1!Print_Area</vt:lpstr>
      <vt:lpstr>EPA_YR2!Print_Area</vt:lpstr>
      <vt:lpstr>EPA_YR3!Print_Area</vt:lpstr>
      <vt:lpstr>summary!Print_Area</vt:lpstr>
      <vt:lpstr>'YR1'!Print_Area</vt:lpstr>
      <vt:lpstr>'YR2'!Print_Area</vt:lpstr>
      <vt:lpstr>'YR3'!Print_Area</vt:lpstr>
      <vt:lpstr>'YR1'!Print_Titles</vt:lpstr>
      <vt:lpstr>'YR2'!Print_Titles</vt:lpstr>
      <vt:lpstr>'YR3'!Print_Titles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2023-11-17T16:30:46Z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y fmtid="{D5CDD505-2E9C-101B-9397-08002B2CF9AE}" pid="4" name="Document 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