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usepa-my.sharepoint.com/personal/schultz_eric_epa_gov/Documents/03 ICR materials/"/>
    </mc:Choice>
  </mc:AlternateContent>
  <xr:revisionPtr revIDLastSave="0" documentId="8_{23892B25-CF0B-4604-A47D-9445E6BB36BE}" xr6:coauthVersionLast="47" xr6:coauthVersionMax="47" xr10:uidLastSave="{00000000-0000-0000-0000-000000000000}"/>
  <workbookProtection workbookAlgorithmName="SHA-512" workbookHashValue="QrulE8DZYs3mRdN3WLl5ml08HaXPdJQyOo19C8vGOX/SvAdpGO02DOUbnrdltSdtPbR072Qj3RzErtxlbbhkng==" workbookSaltValue="oL6OdA2mGDp/+eiAqIsMnQ==" workbookSpinCount="100000" lockStructure="1"/>
  <bookViews>
    <workbookView xWindow="-22200" yWindow="2880" windowWidth="21600" windowHeight="11295" xr2:uid="{00000000-000D-0000-FFFF-FFFF00000000}"/>
  </bookViews>
  <sheets>
    <sheet name="Cover" sheetId="12" r:id="rId1"/>
    <sheet name="Table 1" sheetId="1" r:id="rId2"/>
    <sheet name="Table 2" sheetId="6" r:id="rId3"/>
    <sheet name="Table 3" sheetId="7" r:id="rId4"/>
    <sheet name="Table 4" sheetId="8" r:id="rId5"/>
    <sheet name="Table 5" sheetId="2" r:id="rId6"/>
    <sheet name="Table 6" sheetId="9" r:id="rId7"/>
    <sheet name="Table 7" sheetId="10" r:id="rId8"/>
    <sheet name="Table 8" sheetId="11" r:id="rId9"/>
    <sheet name="Capital O&amp;M" sheetId="3" r:id="rId10"/>
    <sheet name="Responses" sheetId="4" r:id="rId11"/>
    <sheet name="Respondents" sheetId="5"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 i="4" l="1"/>
  <c r="B9" i="5" l="1"/>
  <c r="B7" i="5"/>
  <c r="B8" i="5"/>
  <c r="B6" i="5"/>
  <c r="D8" i="8"/>
  <c r="G14" i="3"/>
  <c r="D14" i="3"/>
  <c r="C7" i="11" l="1"/>
  <c r="C5" i="11"/>
  <c r="B5" i="11"/>
  <c r="B6" i="11" s="1"/>
  <c r="C4" i="11"/>
  <c r="E4" i="11" s="1"/>
  <c r="B4" i="11"/>
  <c r="C3" i="11"/>
  <c r="B3" i="11"/>
  <c r="I12" i="10"/>
  <c r="F12" i="10"/>
  <c r="E11" i="10"/>
  <c r="E9" i="10"/>
  <c r="E10" i="10" s="1"/>
  <c r="E8" i="10"/>
  <c r="F8" i="10" s="1"/>
  <c r="G8" i="10" s="1"/>
  <c r="E7" i="10"/>
  <c r="E6" i="10"/>
  <c r="F12" i="9"/>
  <c r="E11" i="9"/>
  <c r="E9" i="9"/>
  <c r="E10" i="9" s="1"/>
  <c r="E8" i="9"/>
  <c r="E7" i="9"/>
  <c r="E6" i="9"/>
  <c r="E10" i="2"/>
  <c r="E11" i="2"/>
  <c r="E9" i="2"/>
  <c r="E8" i="2"/>
  <c r="F8" i="2" s="1"/>
  <c r="E7" i="2"/>
  <c r="E6" i="2"/>
  <c r="F25" i="1"/>
  <c r="B4" i="8" s="1"/>
  <c r="F25" i="6"/>
  <c r="F25" i="7"/>
  <c r="F24" i="7"/>
  <c r="D24" i="7"/>
  <c r="D23" i="7"/>
  <c r="F23" i="7" s="1"/>
  <c r="D24" i="6"/>
  <c r="F24" i="6" s="1"/>
  <c r="D23" i="6"/>
  <c r="F23" i="6" s="1"/>
  <c r="F19" i="1"/>
  <c r="I27" i="7"/>
  <c r="I27" i="6"/>
  <c r="I27" i="1"/>
  <c r="I28" i="1" s="1"/>
  <c r="F6" i="5"/>
  <c r="D7" i="11"/>
  <c r="D6" i="11"/>
  <c r="E5" i="11"/>
  <c r="B7" i="11"/>
  <c r="D11" i="10"/>
  <c r="D10" i="10"/>
  <c r="D9" i="10"/>
  <c r="D8" i="10"/>
  <c r="D7" i="10"/>
  <c r="F7" i="10" s="1"/>
  <c r="D6" i="10"/>
  <c r="D11" i="9"/>
  <c r="D10" i="9"/>
  <c r="D9" i="9"/>
  <c r="D8" i="9"/>
  <c r="D7" i="9"/>
  <c r="F7" i="9" s="1"/>
  <c r="D6" i="9"/>
  <c r="D11" i="2"/>
  <c r="D10" i="2"/>
  <c r="D9" i="2"/>
  <c r="D8" i="2"/>
  <c r="D7" i="2"/>
  <c r="D6" i="2"/>
  <c r="B8" i="4" l="1"/>
  <c r="E8" i="4" s="1"/>
  <c r="B7" i="4"/>
  <c r="E7" i="4" s="1"/>
  <c r="B5" i="4"/>
  <c r="B6" i="4" s="1"/>
  <c r="E6" i="4" s="1"/>
  <c r="F9" i="10"/>
  <c r="G9" i="10" s="1"/>
  <c r="F11" i="10"/>
  <c r="G11" i="10" s="1"/>
  <c r="F6" i="10"/>
  <c r="G6" i="10" s="1"/>
  <c r="F8" i="9"/>
  <c r="G8" i="9" s="1"/>
  <c r="I8" i="9" s="1"/>
  <c r="F11" i="9"/>
  <c r="G11" i="9" s="1"/>
  <c r="F6" i="9"/>
  <c r="F11" i="2"/>
  <c r="H11" i="2" s="1"/>
  <c r="F9" i="2"/>
  <c r="H9" i="2" s="1"/>
  <c r="F7" i="2"/>
  <c r="F6" i="2"/>
  <c r="G6" i="2" s="1"/>
  <c r="F26" i="1"/>
  <c r="H23" i="7"/>
  <c r="G23" i="7"/>
  <c r="I23" i="7" s="1"/>
  <c r="G24" i="7"/>
  <c r="H24" i="7"/>
  <c r="I24" i="7" s="1"/>
  <c r="H23" i="6"/>
  <c r="G23" i="6"/>
  <c r="I23" i="6" s="1"/>
  <c r="H24" i="6"/>
  <c r="G24" i="6"/>
  <c r="I24" i="6" s="1"/>
  <c r="C7" i="5"/>
  <c r="B9" i="4"/>
  <c r="E9" i="4" s="1"/>
  <c r="E5" i="4"/>
  <c r="E3" i="11"/>
  <c r="C6" i="11"/>
  <c r="F10" i="10"/>
  <c r="H11" i="10"/>
  <c r="H7" i="10"/>
  <c r="G7" i="10"/>
  <c r="I7" i="10" s="1"/>
  <c r="H8" i="10"/>
  <c r="I8" i="10"/>
  <c r="H8" i="9"/>
  <c r="F10" i="9"/>
  <c r="H7" i="9"/>
  <c r="G7" i="9"/>
  <c r="I7" i="9"/>
  <c r="H11" i="9"/>
  <c r="F9" i="9"/>
  <c r="F10" i="2"/>
  <c r="H7" i="2"/>
  <c r="G7" i="2"/>
  <c r="I7" i="2" s="1"/>
  <c r="G11" i="2"/>
  <c r="G8" i="2"/>
  <c r="H8" i="2"/>
  <c r="I11" i="10" l="1"/>
  <c r="H9" i="10"/>
  <c r="I9" i="10"/>
  <c r="H6" i="10"/>
  <c r="I6" i="10" s="1"/>
  <c r="G6" i="9"/>
  <c r="I6" i="9" s="1"/>
  <c r="I11" i="9"/>
  <c r="H6" i="9"/>
  <c r="I11" i="2"/>
  <c r="G9" i="2"/>
  <c r="I9" i="2" s="1"/>
  <c r="H6" i="2"/>
  <c r="I6" i="2" s="1"/>
  <c r="F7" i="5"/>
  <c r="E7" i="11"/>
  <c r="E6" i="11"/>
  <c r="H10" i="10"/>
  <c r="G10" i="10"/>
  <c r="H10" i="9"/>
  <c r="G10" i="9"/>
  <c r="I10" i="9" s="1"/>
  <c r="G9" i="9"/>
  <c r="I9" i="9" s="1"/>
  <c r="H9" i="9"/>
  <c r="I8" i="2"/>
  <c r="H10" i="2"/>
  <c r="G10" i="2"/>
  <c r="F12" i="2" s="1"/>
  <c r="I12" i="9" l="1"/>
  <c r="C8" i="5"/>
  <c r="I10" i="10"/>
  <c r="I10" i="2"/>
  <c r="I12" i="2" s="1"/>
  <c r="F8" i="5" l="1"/>
  <c r="F9" i="5" s="1"/>
  <c r="B10" i="4" s="1"/>
  <c r="E10" i="4" s="1"/>
  <c r="C9" i="5"/>
  <c r="E9" i="7" l="1"/>
  <c r="E9" i="6"/>
  <c r="E10" i="7" s="1"/>
  <c r="E10" i="6"/>
  <c r="E12" i="6" l="1"/>
  <c r="C13" i="3"/>
  <c r="C12" i="3"/>
  <c r="C11" i="3"/>
  <c r="C10" i="3"/>
  <c r="C9" i="3"/>
  <c r="C8" i="3"/>
  <c r="C7" i="3"/>
  <c r="C6" i="3"/>
  <c r="C4" i="3"/>
  <c r="F13" i="3" l="1"/>
  <c r="F12" i="3"/>
  <c r="F11" i="3"/>
  <c r="F10" i="3"/>
  <c r="F9" i="3"/>
  <c r="F8" i="3"/>
  <c r="F7" i="3"/>
  <c r="F6" i="3"/>
  <c r="F5" i="3"/>
  <c r="F4" i="3"/>
  <c r="E9" i="1"/>
  <c r="E12" i="1" l="1"/>
  <c r="D24" i="1" l="1"/>
  <c r="F24" i="1" s="1"/>
  <c r="D23" i="1"/>
  <c r="F23" i="1" s="1"/>
  <c r="G23" i="1" s="1"/>
  <c r="H24" i="1" l="1"/>
  <c r="G24" i="1"/>
  <c r="I24" i="1" s="1"/>
  <c r="H23" i="1"/>
  <c r="I23" i="1" s="1"/>
  <c r="E16" i="7" l="1"/>
  <c r="E16" i="6"/>
  <c r="E21" i="1"/>
  <c r="D22" i="7"/>
  <c r="D21" i="7"/>
  <c r="D18" i="7"/>
  <c r="D17" i="7"/>
  <c r="D16" i="7"/>
  <c r="D15" i="7"/>
  <c r="D13" i="7"/>
  <c r="D12" i="7"/>
  <c r="D10" i="7"/>
  <c r="D22" i="6"/>
  <c r="D21" i="6"/>
  <c r="D18" i="6"/>
  <c r="D17" i="6"/>
  <c r="D16" i="6"/>
  <c r="D15" i="6"/>
  <c r="D13" i="6"/>
  <c r="D12" i="6"/>
  <c r="D10" i="6"/>
  <c r="F16" i="6" l="1"/>
  <c r="H16" i="6" s="1"/>
  <c r="F16" i="7"/>
  <c r="G16" i="7" s="1"/>
  <c r="F10" i="7"/>
  <c r="H10" i="7" s="1"/>
  <c r="E18" i="7"/>
  <c r="E22" i="7" s="1"/>
  <c r="F22" i="7" s="1"/>
  <c r="F10" i="6"/>
  <c r="H10" i="6" s="1"/>
  <c r="E12" i="7"/>
  <c r="E21" i="7"/>
  <c r="F21" i="7" s="1"/>
  <c r="E15" i="7"/>
  <c r="F15" i="7" s="1"/>
  <c r="F9" i="7"/>
  <c r="H9" i="7" s="1"/>
  <c r="E21" i="6"/>
  <c r="F21" i="6" s="1"/>
  <c r="H21" i="6" s="1"/>
  <c r="F9" i="6"/>
  <c r="G9" i="6" s="1"/>
  <c r="E15" i="6"/>
  <c r="F15" i="6" s="1"/>
  <c r="H15" i="6" s="1"/>
  <c r="E18" i="6"/>
  <c r="E16" i="1"/>
  <c r="E15" i="1"/>
  <c r="E18" i="1"/>
  <c r="G16" i="6"/>
  <c r="I16" i="6" s="1"/>
  <c r="H9" i="6" l="1"/>
  <c r="I9" i="6" s="1"/>
  <c r="G21" i="6"/>
  <c r="I21" i="6" s="1"/>
  <c r="H16" i="7"/>
  <c r="I16" i="7" s="1"/>
  <c r="G10" i="7"/>
  <c r="I10" i="7" s="1"/>
  <c r="G9" i="7"/>
  <c r="I9" i="7" s="1"/>
  <c r="G10" i="6"/>
  <c r="I10" i="6" s="1"/>
  <c r="H21" i="7"/>
  <c r="G21" i="7"/>
  <c r="I21" i="7" s="1"/>
  <c r="G15" i="7"/>
  <c r="H15" i="7"/>
  <c r="E13" i="7"/>
  <c r="F13" i="7" s="1"/>
  <c r="F12" i="7"/>
  <c r="E13" i="6"/>
  <c r="F13" i="6" s="1"/>
  <c r="F12" i="6"/>
  <c r="F18" i="6"/>
  <c r="E22" i="6"/>
  <c r="F22" i="6" s="1"/>
  <c r="G22" i="6" s="1"/>
  <c r="G15" i="6"/>
  <c r="I15" i="6" s="1"/>
  <c r="H22" i="7"/>
  <c r="G22" i="7"/>
  <c r="F18" i="7"/>
  <c r="I22" i="7" l="1"/>
  <c r="I25" i="7" s="1"/>
  <c r="H22" i="6"/>
  <c r="I15" i="7"/>
  <c r="H13" i="7"/>
  <c r="G13" i="7"/>
  <c r="G12" i="7"/>
  <c r="H12" i="7"/>
  <c r="E17" i="7"/>
  <c r="F17" i="7" s="1"/>
  <c r="G12" i="6"/>
  <c r="H12" i="6"/>
  <c r="H13" i="6"/>
  <c r="G13" i="6"/>
  <c r="E17" i="6"/>
  <c r="F17" i="6" s="1"/>
  <c r="H18" i="6"/>
  <c r="G18" i="6"/>
  <c r="H18" i="7"/>
  <c r="G18" i="7"/>
  <c r="I18" i="7" s="1"/>
  <c r="I22" i="6"/>
  <c r="I25" i="6" s="1"/>
  <c r="I13" i="7" l="1"/>
  <c r="I18" i="6"/>
  <c r="I12" i="7"/>
  <c r="H17" i="7"/>
  <c r="G17" i="7"/>
  <c r="H17" i="6"/>
  <c r="G17" i="6"/>
  <c r="I17" i="6" s="1"/>
  <c r="I13" i="6"/>
  <c r="I12" i="6"/>
  <c r="I17" i="7" l="1"/>
  <c r="I19" i="7"/>
  <c r="I26" i="7" s="1"/>
  <c r="C6" i="8" s="1"/>
  <c r="F19" i="6"/>
  <c r="F19" i="7"/>
  <c r="I19" i="6"/>
  <c r="I26" i="6" s="1"/>
  <c r="I28" i="7" l="1"/>
  <c r="C5" i="8"/>
  <c r="I28" i="6"/>
  <c r="F26" i="7"/>
  <c r="B6" i="8"/>
  <c r="B5" i="8"/>
  <c r="F26" i="6"/>
  <c r="F9" i="1"/>
  <c r="D10" i="1"/>
  <c r="F10" i="1" s="1"/>
  <c r="G9" i="1" l="1"/>
  <c r="H9" i="1"/>
  <c r="H10" i="1"/>
  <c r="G10" i="1"/>
  <c r="I9" i="1" l="1"/>
  <c r="I10" i="1"/>
  <c r="G5" i="3" l="1"/>
  <c r="G13" i="3" l="1"/>
  <c r="G12" i="3"/>
  <c r="G11" i="3"/>
  <c r="G10" i="3"/>
  <c r="G9" i="3"/>
  <c r="G8" i="3"/>
  <c r="G7" i="3"/>
  <c r="G6" i="3"/>
  <c r="G4" i="3"/>
  <c r="D6" i="3" l="1"/>
  <c r="D7" i="3"/>
  <c r="D8" i="3"/>
  <c r="D9" i="3"/>
  <c r="D10" i="3"/>
  <c r="D11" i="3"/>
  <c r="D12" i="3"/>
  <c r="D13" i="3"/>
  <c r="D4" i="3"/>
  <c r="D22" i="1"/>
  <c r="D21" i="1"/>
  <c r="F21" i="1" s="1"/>
  <c r="E22" i="1"/>
  <c r="D18" i="1"/>
  <c r="F18" i="1" s="1"/>
  <c r="D17" i="1"/>
  <c r="D16" i="1"/>
  <c r="D15" i="1"/>
  <c r="F15" i="1" s="1"/>
  <c r="D13" i="1"/>
  <c r="D12" i="1"/>
  <c r="F12" i="1" s="1"/>
  <c r="F16" i="1" l="1"/>
  <c r="H16" i="1" s="1"/>
  <c r="H12" i="1"/>
  <c r="G12" i="1"/>
  <c r="H18" i="1"/>
  <c r="G18" i="1"/>
  <c r="H21" i="1"/>
  <c r="G21" i="1"/>
  <c r="H15" i="1"/>
  <c r="G15" i="1"/>
  <c r="F22" i="1"/>
  <c r="E13" i="1"/>
  <c r="D4" i="8" l="1"/>
  <c r="I18" i="1"/>
  <c r="I12" i="1"/>
  <c r="F13" i="1"/>
  <c r="G13" i="1" s="1"/>
  <c r="E17" i="1"/>
  <c r="F17" i="1" s="1"/>
  <c r="H17" i="1" s="1"/>
  <c r="I15" i="1"/>
  <c r="G16" i="1"/>
  <c r="I16" i="1" s="1"/>
  <c r="H22" i="1"/>
  <c r="G22" i="1"/>
  <c r="I21" i="1"/>
  <c r="D5" i="8" l="1"/>
  <c r="D6" i="8"/>
  <c r="E6" i="8" s="1"/>
  <c r="H13" i="1"/>
  <c r="I13" i="1"/>
  <c r="G17" i="1"/>
  <c r="I17" i="1" s="1"/>
  <c r="I22" i="1"/>
  <c r="I25" i="1" s="1"/>
  <c r="E5" i="8" l="1"/>
  <c r="D7" i="8"/>
  <c r="B8" i="8"/>
  <c r="I19" i="1"/>
  <c r="I26" i="1" s="1"/>
  <c r="C4" i="8" l="1"/>
  <c r="C8" i="8" s="1"/>
  <c r="B7" i="8"/>
  <c r="E4" i="8" l="1"/>
  <c r="C7" i="8"/>
  <c r="E8" i="8" l="1"/>
  <c r="E7" i="8"/>
</calcChain>
</file>

<file path=xl/sharedStrings.xml><?xml version="1.0" encoding="utf-8"?>
<sst xmlns="http://schemas.openxmlformats.org/spreadsheetml/2006/main" count="343" uniqueCount="128">
  <si>
    <t>Burden item</t>
  </si>
  <si>
    <t>(A)</t>
  </si>
  <si>
    <t>(B)</t>
  </si>
  <si>
    <t>(C)</t>
  </si>
  <si>
    <t>(D)</t>
  </si>
  <si>
    <t>(E)</t>
  </si>
  <si>
    <t>(F)</t>
  </si>
  <si>
    <t>(G)</t>
  </si>
  <si>
    <t>(H)</t>
  </si>
  <si>
    <t>Person-hours per occurrence</t>
  </si>
  <si>
    <t>No. of occurrences per respondent per year</t>
  </si>
  <si>
    <t>Person-hours per respondent per year 
(C=AxB)</t>
  </si>
  <si>
    <r>
      <t xml:space="preserve">Respondents per year </t>
    </r>
    <r>
      <rPr>
        <b/>
        <vertAlign val="superscript"/>
        <sz val="10"/>
        <color theme="1"/>
        <rFont val="Times New Roman"/>
        <family val="1"/>
      </rPr>
      <t>a</t>
    </r>
  </si>
  <si>
    <t>Technical hours per year 
(E=CxD)</t>
  </si>
  <si>
    <t>Management hours per year 
(F=Ex0.05)</t>
  </si>
  <si>
    <t>Clerical hours per year 
(G=Ex0.1)</t>
  </si>
  <si>
    <r>
      <t xml:space="preserve">Total cost per year ($) </t>
    </r>
    <r>
      <rPr>
        <b/>
        <vertAlign val="superscript"/>
        <sz val="10"/>
        <color theme="1"/>
        <rFont val="Times New Roman"/>
        <family val="1"/>
      </rPr>
      <t>b</t>
    </r>
  </si>
  <si>
    <t>1.  Applications</t>
  </si>
  <si>
    <t>N/A</t>
  </si>
  <si>
    <t>2.  Survey and Studies</t>
  </si>
  <si>
    <t>3.  Reporting requirements</t>
  </si>
  <si>
    <r>
      <t xml:space="preserve">A.  Familiarize with regulatory requirements </t>
    </r>
    <r>
      <rPr>
        <vertAlign val="superscript"/>
        <sz val="10"/>
        <color theme="1"/>
        <rFont val="Times New Roman"/>
        <family val="1"/>
      </rPr>
      <t>c</t>
    </r>
  </si>
  <si>
    <t>B.  Required activities</t>
  </si>
  <si>
    <t>Initial performance test report</t>
  </si>
  <si>
    <r>
      <t xml:space="preserve">Repeat performance test report </t>
    </r>
    <r>
      <rPr>
        <vertAlign val="superscript"/>
        <sz val="10"/>
        <color theme="1"/>
        <rFont val="Times New Roman"/>
        <family val="1"/>
      </rPr>
      <t>d</t>
    </r>
  </si>
  <si>
    <t>C.  Write report</t>
  </si>
  <si>
    <t>Notification of construction/modification</t>
  </si>
  <si>
    <t>Notification of actual startup</t>
  </si>
  <si>
    <t>Notification of initial/repeat performance test</t>
  </si>
  <si>
    <t>Semiannual report</t>
  </si>
  <si>
    <t>Subtotal for Reporting Requirements</t>
  </si>
  <si>
    <t>4.  Recordkeeping requirements</t>
  </si>
  <si>
    <t>Records of operating parameters for control devices</t>
  </si>
  <si>
    <t>Records of operating conditions exceeding last performance test</t>
  </si>
  <si>
    <t>Subtotal for Recordkeeping Requirements</t>
  </si>
  <si>
    <t>Assumptions:</t>
  </si>
  <si>
    <r>
      <rPr>
        <vertAlign val="superscript"/>
        <sz val="10"/>
        <color theme="1"/>
        <rFont val="Times New Roman"/>
        <family val="1"/>
      </rPr>
      <t>c</t>
    </r>
    <r>
      <rPr>
        <sz val="10"/>
        <color theme="1"/>
        <rFont val="Times New Roman"/>
        <family val="1"/>
      </rPr>
      <t xml:space="preserve">  This ICR assumes all existing respondents will have to familiarize with the regulatory requirements each year.</t>
    </r>
  </si>
  <si>
    <r>
      <t>d</t>
    </r>
    <r>
      <rPr>
        <sz val="10"/>
        <color theme="1"/>
        <rFont val="Times New Roman"/>
        <family val="1"/>
      </rPr>
      <t xml:space="preserve">  Assume 20 percent of initial performance tests must be repeated due to failure.</t>
    </r>
  </si>
  <si>
    <t>Report review: New plant</t>
  </si>
  <si>
    <t xml:space="preserve">  </t>
  </si>
  <si>
    <t>Notification of construction/ modification</t>
  </si>
  <si>
    <t>Initial performance test</t>
  </si>
  <si>
    <r>
      <t xml:space="preserve">Repeat performance test </t>
    </r>
    <r>
      <rPr>
        <vertAlign val="superscript"/>
        <sz val="10"/>
        <color theme="1"/>
        <rFont val="Times New Roman"/>
        <family val="1"/>
      </rPr>
      <t>c</t>
    </r>
  </si>
  <si>
    <r>
      <t>TOTAL (rounded)</t>
    </r>
    <r>
      <rPr>
        <sz val="10"/>
        <color theme="1"/>
        <rFont val="Times New Roman"/>
        <family val="1"/>
      </rPr>
      <t> </t>
    </r>
    <r>
      <rPr>
        <b/>
        <vertAlign val="superscript"/>
        <sz val="10"/>
        <color theme="1"/>
        <rFont val="Times New Roman"/>
        <family val="1"/>
      </rPr>
      <t>d</t>
    </r>
  </si>
  <si>
    <r>
      <t>c</t>
    </r>
    <r>
      <rPr>
        <sz val="10"/>
        <color theme="1"/>
        <rFont val="Times New Roman"/>
        <family val="1"/>
      </rPr>
      <t xml:space="preserve">  Assume 20 percent of initial performance tests must be repeated due to failure.</t>
    </r>
  </si>
  <si>
    <r>
      <rPr>
        <vertAlign val="superscript"/>
        <sz val="10"/>
        <color theme="1"/>
        <rFont val="Times New Roman"/>
        <family val="1"/>
      </rPr>
      <t>d</t>
    </r>
    <r>
      <rPr>
        <sz val="10"/>
        <color theme="1"/>
        <rFont val="Times New Roman"/>
        <family val="1"/>
      </rPr>
      <t xml:space="preserve">  Totals have been rounded to 3 significant figures. Figures may not add exactly due to rounding. </t>
    </r>
  </si>
  <si>
    <t>Annual O&amp;M Costs for One Respondent</t>
  </si>
  <si>
    <t>Average</t>
  </si>
  <si>
    <t>Information Collection Activity</t>
  </si>
  <si>
    <t>Number of Respondents</t>
  </si>
  <si>
    <t>Number of Responses</t>
  </si>
  <si>
    <t>Number of Existing Respondents That Keep Records But Do Not Submit Reports</t>
  </si>
  <si>
    <t>Total Annual  Responses E=(BxC)+D</t>
  </si>
  <si>
    <t>Repeat performance test report</t>
  </si>
  <si>
    <r>
      <t xml:space="preserve">b  </t>
    </r>
    <r>
      <rPr>
        <sz val="10"/>
        <color theme="1"/>
        <rFont val="Times New Roman"/>
        <family val="1"/>
      </rPr>
      <t>This ICR uses the following labor rates for privately-owned sources: $161.34 for managerial, $101.24 for technical,  and $45.17 for clerical labor.  These rates are from the United States Department of Labor, Bureau of Labor Statistics, May 2021, National Industry-Specific Occupational Employment and Wage Estimates for NAICS 325000 - Chemical Manufacturing. These rates have been adjusted using a Fringe Benefit Loading Rate of 1.5 and an Overhead and Profit Rate of 1.4 (Mean Hourly Rate * Fringe Benefit Loading Rate * Overhead and Profit Rate = Loaded Rate) to account for varying industry wage rates and the additional overhead business costs of employing workers beyond their wages and benefits, including business expenses associated with hiring, training, and equipping their employees.</t>
    </r>
  </si>
  <si>
    <t>Capital/Startup vs. Operation and Maintenance (O&amp;M) Costs</t>
  </si>
  <si>
    <t>Capital/Startup Cost for One Respondent</t>
  </si>
  <si>
    <t>Flare monitoring requirements</t>
  </si>
  <si>
    <t>Non-flare control of vent streams</t>
  </si>
  <si>
    <t>Carbon cannisters</t>
  </si>
  <si>
    <t>Maintenance vent requirements</t>
  </si>
  <si>
    <r>
      <t xml:space="preserve">Total Capital/Startup Cost, (B X C) </t>
    </r>
    <r>
      <rPr>
        <vertAlign val="superscript"/>
        <sz val="10"/>
        <color rgb="FF000000"/>
        <rFont val="Times New Roman"/>
        <family val="1"/>
      </rPr>
      <t>a</t>
    </r>
  </si>
  <si>
    <r>
      <t xml:space="preserve">Total O&amp;M,
(E X F) </t>
    </r>
    <r>
      <rPr>
        <vertAlign val="superscript"/>
        <sz val="10"/>
        <color rgb="FF000000"/>
        <rFont val="Times New Roman"/>
        <family val="1"/>
      </rPr>
      <t>a</t>
    </r>
  </si>
  <si>
    <r>
      <t xml:space="preserve">Total </t>
    </r>
    <r>
      <rPr>
        <b/>
        <vertAlign val="superscript"/>
        <sz val="10"/>
        <color theme="1"/>
        <rFont val="Times New Roman"/>
        <family val="1"/>
      </rPr>
      <t>c</t>
    </r>
  </si>
  <si>
    <r>
      <t xml:space="preserve">Continuous Monitoring Device </t>
    </r>
    <r>
      <rPr>
        <vertAlign val="superscript"/>
        <sz val="10"/>
        <color rgb="FF000000"/>
        <rFont val="Times New Roman"/>
        <family val="1"/>
      </rPr>
      <t>a</t>
    </r>
  </si>
  <si>
    <t>H2 Analyzer</t>
  </si>
  <si>
    <t>Calorimeter</t>
  </si>
  <si>
    <t>Flare Gas Flow Monitor</t>
  </si>
  <si>
    <t>Steam Controls/Flow Monitor</t>
  </si>
  <si>
    <t>Avg. NG Cost per Flare to Meet NHVcz</t>
  </si>
  <si>
    <t>Steam Cost Savings per Flare to Meet NHVcz</t>
  </si>
  <si>
    <r>
      <rPr>
        <vertAlign val="superscript"/>
        <sz val="10"/>
        <color rgb="FF000000"/>
        <rFont val="Times New Roman"/>
        <family val="1"/>
      </rPr>
      <t>a</t>
    </r>
    <r>
      <rPr>
        <sz val="10"/>
        <color rgb="FF000000"/>
        <rFont val="Times New Roman"/>
        <family val="1"/>
      </rPr>
      <t xml:space="preserve"> Costs are shown in 2021 $. Respondent counts and monitoring and control requirements are based on the memorandum from Eastern Research Group, Inc. to EPA titled "CAA 111(b)(1)(B) review for the SOCMI air oxidation unit processes, distillation operations, and reactor processes NSPS subparts III, NNN, and RRR," March 2023, EPA-HQ-OAR-2022-0730.</t>
    </r>
  </si>
  <si>
    <t>Respondents That Submit Reports</t>
  </si>
  <si>
    <t>Respondents That Do Not Submit Any Reports</t>
  </si>
  <si>
    <t>Year</t>
  </si>
  <si>
    <r>
      <t xml:space="preserve">Number of New Respondents </t>
    </r>
    <r>
      <rPr>
        <vertAlign val="superscript"/>
        <sz val="10"/>
        <color rgb="FF000000"/>
        <rFont val="Times New Roman"/>
        <family val="1"/>
      </rPr>
      <t>1</t>
    </r>
  </si>
  <si>
    <t>Number of Existing Respondents</t>
  </si>
  <si>
    <t>Number of Existing Respondents that keep records but do not submit reports</t>
  </si>
  <si>
    <t>Number of Existing Respondents That Are Also New Respondents</t>
  </si>
  <si>
    <t>Number of Respondents
(E=A+B+C-D)</t>
  </si>
  <si>
    <t>New Sources</t>
  </si>
  <si>
    <t>Existing Sources</t>
  </si>
  <si>
    <t>Total Labor Hours</t>
  </si>
  <si>
    <t>Labor Costs</t>
  </si>
  <si>
    <t>Non-Labor (Capital/Startup and O&amp;M) Costs</t>
  </si>
  <si>
    <t>Total Costs</t>
  </si>
  <si>
    <r>
      <t>Records of flow events from a relief valve discharge</t>
    </r>
    <r>
      <rPr>
        <vertAlign val="superscript"/>
        <sz val="10"/>
        <color theme="1"/>
        <rFont val="Times New Roman"/>
        <family val="1"/>
      </rPr>
      <t xml:space="preserve"> e</t>
    </r>
  </si>
  <si>
    <r>
      <t xml:space="preserve">Records for bypass lines </t>
    </r>
    <r>
      <rPr>
        <vertAlign val="superscript"/>
        <sz val="10"/>
        <color theme="1"/>
        <rFont val="Times New Roman"/>
        <family val="1"/>
      </rPr>
      <t>e</t>
    </r>
  </si>
  <si>
    <r>
      <rPr>
        <vertAlign val="superscript"/>
        <sz val="10"/>
        <color theme="1"/>
        <rFont val="Times New Roman"/>
        <family val="1"/>
      </rPr>
      <t>e</t>
    </r>
    <r>
      <rPr>
        <sz val="10"/>
        <color theme="1"/>
        <rFont val="Times New Roman"/>
        <family val="1"/>
      </rPr>
      <t xml:space="preserve"> We have assumed that no respondents will bypass the control device or have a relief valve discharge to the atmosphere during the three-year period of this ICR.</t>
    </r>
  </si>
  <si>
    <r>
      <rPr>
        <vertAlign val="superscript"/>
        <sz val="10"/>
        <color theme="1"/>
        <rFont val="Times New Roman"/>
        <family val="1"/>
      </rPr>
      <t>f</t>
    </r>
    <r>
      <rPr>
        <sz val="10"/>
        <color theme="1"/>
        <rFont val="Times New Roman"/>
        <family val="1"/>
      </rPr>
      <t xml:space="preserve">  Totals have been rounded to 3 significant figures. Figures may not add exactly due to rounding. </t>
    </r>
  </si>
  <si>
    <r>
      <t xml:space="preserve">TOTAL LABOR BURDEN AND COST (rounded) </t>
    </r>
    <r>
      <rPr>
        <b/>
        <vertAlign val="superscript"/>
        <sz val="10"/>
        <color theme="1"/>
        <rFont val="Times New Roman"/>
        <family val="1"/>
      </rPr>
      <t>f</t>
    </r>
  </si>
  <si>
    <r>
      <t xml:space="preserve">TOTAL CAPITAL AND O&amp;M COST (rounded) </t>
    </r>
    <r>
      <rPr>
        <b/>
        <vertAlign val="superscript"/>
        <sz val="10"/>
        <color theme="1"/>
        <rFont val="Times New Roman"/>
        <family val="1"/>
      </rPr>
      <t>f</t>
    </r>
  </si>
  <si>
    <r>
      <t xml:space="preserve">GRAND TOTAL (rounded) </t>
    </r>
    <r>
      <rPr>
        <b/>
        <vertAlign val="superscript"/>
        <sz val="10"/>
        <color theme="1"/>
        <rFont val="Times New Roman"/>
        <family val="1"/>
      </rPr>
      <t>f</t>
    </r>
  </si>
  <si>
    <r>
      <rPr>
        <vertAlign val="superscript"/>
        <sz val="10"/>
        <color theme="1"/>
        <rFont val="Times New Roman"/>
        <family val="1"/>
      </rPr>
      <t>c</t>
    </r>
    <r>
      <rPr>
        <sz val="10"/>
        <color theme="1"/>
        <rFont val="Times New Roman"/>
        <family val="1"/>
      </rPr>
      <t xml:space="preserve"> Totals have been rounded to 3 significant figures. Figures may not add exactly due to rounding.</t>
    </r>
  </si>
  <si>
    <r>
      <t xml:space="preserve">Number of Respondents with O&amp;M </t>
    </r>
    <r>
      <rPr>
        <vertAlign val="superscript"/>
        <sz val="10"/>
        <color rgb="FF000000"/>
        <rFont val="Times New Roman"/>
        <family val="1"/>
      </rPr>
      <t>a, b</t>
    </r>
  </si>
  <si>
    <r>
      <t xml:space="preserve">Number of New Respondents </t>
    </r>
    <r>
      <rPr>
        <vertAlign val="superscript"/>
        <sz val="10"/>
        <color rgb="FF000000"/>
        <rFont val="Times New Roman"/>
        <family val="1"/>
      </rPr>
      <t>a, b</t>
    </r>
  </si>
  <si>
    <r>
      <t xml:space="preserve">a </t>
    </r>
    <r>
      <rPr>
        <sz val="10"/>
        <color theme="1"/>
        <rFont val="Times New Roman"/>
        <family val="1"/>
      </rPr>
      <t xml:space="preserve"> We have assumed that there will be 7 new respondents over the three-year period of this ICR.  We have assumed that on average, there will be 2.3 new respondents per year.</t>
    </r>
  </si>
  <si>
    <r>
      <rPr>
        <vertAlign val="superscript"/>
        <sz val="10"/>
        <color theme="1"/>
        <rFont val="Times New Roman"/>
        <family val="1"/>
      </rPr>
      <t>b</t>
    </r>
    <r>
      <rPr>
        <sz val="10"/>
        <color theme="1"/>
        <rFont val="Times New Roman"/>
        <family val="1"/>
      </rPr>
      <t xml:space="preserve">  This ICR uses the following labor rates:  $69.04 for managerial, $51.23 for technical,  and $27.73 for clerical labor.   These rates are from the Office of Personnel Management (OPM), 2021 General Schedule, which excludes locality rates of pay. The rates have been increased by 60 percent to account for the benefit packages available to government employees. </t>
    </r>
  </si>
  <si>
    <t>Total Hours</t>
  </si>
  <si>
    <t>Non-Labor Costs</t>
  </si>
  <si>
    <t>Summary of Total Annual Responses</t>
  </si>
  <si>
    <t>Table 1: Annual Respondent Burden and Cost - Review of the New Source Performance Standards for VOC from Distillation Operations in the SOCMI (40 CFR Part 60, Subpart NNNa) (Proposed Rule)</t>
  </si>
  <si>
    <t>Table 2: Annual Respondent Burden and Cost - Review of the New Source Performance Standards for VOC from Distillation Operations in the SOCMI (40 CFR Part 60, Subpart NNNa) (Proposed Rule)</t>
  </si>
  <si>
    <t>Table 3: Annual Respondent Burden and Cost - Review of the New Source Performance Standards for VOC from Distillation Operations in the SOCMI (40 CFR Part 60, Subpart NNNa) (Proposed Rule)</t>
  </si>
  <si>
    <t>Table 4 - Summary of Annual Respondent Burden and Cost - Review of the New Source Performance Standards for VOC from Distillation Operations in the SOCMI (40 CFR Part 60, Subpart NNNa) (Proposed Rule)</t>
  </si>
  <si>
    <t>Table 5: Average Annual EPA Burden and Cost Year One - Review of the New Source Performance Standards for VOC from Distillation Operations in the SOCMI (40 CFR Part 60, Subpart NNNa) (Proposed Rule)</t>
  </si>
  <si>
    <t>Table 6: Average Annual EPA Burden and Cost Year Two - Review of the New Source Performance Standards for VOC from Distillation Operations in the SOCMI (40 CFR Part 60, Subpart NNNa) (Proposed Rule)</t>
  </si>
  <si>
    <t>Table 7: Average Annual EPA Burden and Cost Year Three - Review of the New Source Performance Standards for VOC from Distillation Operations in the SOCMI (40 CFR Part 60, Subpart NNNa) (Proposed Rule)</t>
  </si>
  <si>
    <t>Table 8: Summary of Average Annual EPA Burden and Cost - Review of the New Source Performance Standards for VOC from Distillation Operations in the SOCMI (40 CFR Part 60, Subpart NNNa) (Proposed Rule)</t>
  </si>
  <si>
    <t>Total (rounded)</t>
  </si>
  <si>
    <t>Average (rounded)</t>
  </si>
  <si>
    <t>Total (Rounded)</t>
  </si>
  <si>
    <t>Average (Rounded)</t>
  </si>
  <si>
    <r>
      <rPr>
        <vertAlign val="superscript"/>
        <sz val="10"/>
        <color rgb="FF000000"/>
        <rFont val="Times New Roman"/>
        <family val="1"/>
      </rPr>
      <t xml:space="preserve">b </t>
    </r>
    <r>
      <rPr>
        <sz val="10"/>
        <color rgb="FF000000"/>
        <rFont val="Times New Roman"/>
        <family val="1"/>
      </rPr>
      <t>Number of respondents is based on 19 new sources becoming subject to 40 CFR Part 60, Subparts IIIa, NNNa, or RRRa during the three-year period of this ICR. We have assumed that 7 of the 19 will be subject to Subpart NNNa and have adjusted the respondent counts for capital/startup costs by a factor of approximately 0.1228 (2.333/19 = 0.1211) to apportion the capital and O&amp;M estimates for sources subject to NNNa (approximately 2.333 new sources per year for the three-year period of this ICR). We have adjusted the annual O&amp;M costs by a factor of approximately 0.3684 (7/19 = 0.3684) to apportion the costs to the 7 sources that will be subject to Subpart NNNa. The burden and costs for Subparts IIIa and RRRa are accounted for separately under EPA ICR Numbers 2756.01 and 2759.01.</t>
    </r>
  </si>
  <si>
    <r>
      <rPr>
        <vertAlign val="superscript"/>
        <sz val="10"/>
        <color theme="1"/>
        <rFont val="Times New Roman"/>
        <family val="1"/>
      </rPr>
      <t xml:space="preserve">1 </t>
    </r>
    <r>
      <rPr>
        <sz val="10"/>
        <color theme="1"/>
        <rFont val="Times New Roman"/>
        <family val="1"/>
      </rPr>
      <t>New respondents  include sources with constructed, reconstructed and modified affected facilities. We have assumed that there will be 7 new respondents over the three-year period of this ICR.  We have assumed that on average, there will be 2.3 new respondents per year.</t>
    </r>
  </si>
  <si>
    <r>
      <t>Number of Respondents</t>
    </r>
    <r>
      <rPr>
        <b/>
        <vertAlign val="superscript"/>
        <sz val="10"/>
        <color theme="1"/>
        <rFont val="Times New Roman"/>
        <family val="1"/>
      </rPr>
      <t xml:space="preserve"> 1</t>
    </r>
  </si>
  <si>
    <r>
      <rPr>
        <vertAlign val="superscript"/>
        <sz val="10"/>
        <color rgb="FF000000"/>
        <rFont val="Times New Roman"/>
        <family val="1"/>
      </rPr>
      <t xml:space="preserve">1 </t>
    </r>
    <r>
      <rPr>
        <sz val="10"/>
        <color rgb="FF000000"/>
        <rFont val="Times New Roman"/>
        <family val="1"/>
      </rPr>
      <t>Assumes</t>
    </r>
    <r>
      <rPr>
        <sz val="8"/>
        <color theme="1"/>
        <rFont val="Times New Roman"/>
        <family val="1"/>
      </rPr>
      <t> </t>
    </r>
    <r>
      <rPr>
        <sz val="10"/>
        <color rgb="FF000000"/>
        <rFont val="Times New Roman"/>
        <family val="1"/>
      </rPr>
      <t>no existing respondents and a total of 7 new respondents will become subject to the standard during the three-year period of this ICR, 2.3 new respondents per year. Assumes 2.3 new respondents per year will submit initial notifications and initial test reports and an overall average of 4.7 respondents per year will submit semiannual reports.</t>
    </r>
  </si>
  <si>
    <t>ATTACHMENT 1</t>
  </si>
  <si>
    <t>SUPPORTING STATEMENT</t>
  </si>
  <si>
    <t>TABLES 1, 2, and 3</t>
  </si>
  <si>
    <t>TABLE 4</t>
  </si>
  <si>
    <t>TABLES 5, 6, and 7</t>
  </si>
  <si>
    <t>TABLE 8</t>
  </si>
  <si>
    <t>Review of the New Source Performance Standards for VOC from Distillation Operations in the SOCMI (40 CFR Part 60, Subpart NNNa) (Proposed Rule)</t>
  </si>
  <si>
    <t>Annual Respondent Burden and Cost of the Review of the New Source Performance Standards for VOC from Distillation Operations in the SOCMI (40 CFR Part 60, Subpart NNNa) (Proposed Rule) – Years 1-3</t>
  </si>
  <si>
    <t>Summary of Annual Respondent Burden and Cost of the Review of the New Source Performance Standards for VOC from Distillation Operations in the SOCMI (40 CFR Part 60, Subpart NNNa) (Proposed Rule)</t>
  </si>
  <si>
    <t>Annual Agency Burden and Cost of the Review of the New Source Performance Standards for VOC from Distillation Operations in the SOCMI (40 CFR Part 60, Subpart NNNa) (Proposed Rule) – Years 1-3</t>
  </si>
  <si>
    <t>Summary of Annual Agency Burden and Cost of the Review of the New Source Performance Standards for VOC from Distillation Operations in the SOCMI (40 CFR Part 60, Subpart NNNa) (Proposed Rule)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</si>
</sst>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164" formatCode="&quot;$&quot;#,##0.00"/>
    <numFmt numFmtId="165" formatCode="0.0"/>
    <numFmt numFmtId="166" formatCode="General_)"/>
    <numFmt numFmtId="167" formatCode="&quot;$&quot;#,##0"/>
    <numFmt numFmtId="168" formatCode="#,##0.0000_);[Red]\(#,##0.0000\)"/>
  </numFmts>
  <fonts count="23" x14ac:knownFonts="1">
    <font>
      <sz val="11"/>
      <color theme="1"/>
      <name val="Calibri"/>
      <family val="2"/>
      <scheme val="minor"/>
    </font>
    <font>
      <b/>
      <sz val="12"/>
      <color theme="1"/>
      <name val="Times New Roman"/>
      <family val="1"/>
    </font>
    <font>
      <sz val="10"/>
      <color theme="1"/>
      <name val="Times New Roman"/>
      <family val="1"/>
    </font>
    <font>
      <b/>
      <sz val="10"/>
      <color theme="1"/>
      <name val="Times New Roman"/>
      <family val="1"/>
    </font>
    <font>
      <b/>
      <sz val="10"/>
      <color rgb="FF000000"/>
      <name val="Times New Roman"/>
      <family val="1"/>
    </font>
    <font>
      <b/>
      <vertAlign val="superscript"/>
      <sz val="10"/>
      <color theme="1"/>
      <name val="Times New Roman"/>
      <family val="1"/>
    </font>
    <font>
      <vertAlign val="superscript"/>
      <sz val="10"/>
      <color theme="1"/>
      <name val="Times New Roman"/>
      <family val="1"/>
    </font>
    <font>
      <b/>
      <i/>
      <sz val="10"/>
      <color theme="1"/>
      <name val="Times New Roman"/>
      <family val="1"/>
    </font>
    <font>
      <sz val="10"/>
      <color rgb="FFFF0000"/>
      <name val="Times New Roman"/>
      <family val="1"/>
    </font>
    <font>
      <b/>
      <sz val="11"/>
      <color theme="1"/>
      <name val="Times New Roman"/>
      <family val="1"/>
    </font>
    <font>
      <sz val="11"/>
      <color theme="1"/>
      <name val="Times New Roman"/>
      <family val="1"/>
    </font>
    <font>
      <sz val="10"/>
      <name val="Times New Roman"/>
      <family val="1"/>
    </font>
    <font>
      <sz val="9"/>
      <color rgb="FF000000"/>
      <name val="Times New Roman"/>
      <family val="1"/>
    </font>
    <font>
      <b/>
      <sz val="12"/>
      <color rgb="FF000000"/>
      <name val="Times New Roman"/>
      <family val="1"/>
    </font>
    <font>
      <sz val="10"/>
      <color rgb="FF000000"/>
      <name val="Times New Roman"/>
      <family val="1"/>
    </font>
    <font>
      <sz val="12"/>
      <color rgb="FF000000"/>
      <name val="Times New Roman"/>
      <family val="1"/>
    </font>
    <font>
      <sz val="12"/>
      <color theme="1"/>
      <name val="Calibri"/>
      <family val="2"/>
      <scheme val="minor"/>
    </font>
    <font>
      <vertAlign val="superscript"/>
      <sz val="10"/>
      <color rgb="FF000000"/>
      <name val="Times New Roman"/>
      <family val="1"/>
    </font>
    <font>
      <sz val="9"/>
      <name val="Times New Roman"/>
      <family val="1"/>
    </font>
    <font>
      <b/>
      <sz val="12"/>
      <name val="Times New Roman"/>
      <family val="1"/>
    </font>
    <font>
      <b/>
      <sz val="10"/>
      <name val="Times New Roman"/>
      <family val="1"/>
    </font>
    <font>
      <sz val="8"/>
      <color theme="1"/>
      <name val="Times New Roman"/>
      <family val="1"/>
    </font>
    <font>
      <sz val="12"/>
      <color theme="1"/>
      <name val="Times New Roman"/>
      <family val="1"/>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s>
  <cellStyleXfs count="2">
    <xf numFmtId="0" fontId="0" fillId="0" borderId="0"/>
    <xf numFmtId="0" fontId="16" fillId="0" borderId="0"/>
  </cellStyleXfs>
  <cellXfs count="108">
    <xf numFmtId="0" fontId="0" fillId="0" borderId="0" xfId="0"/>
    <xf numFmtId="0" fontId="1" fillId="0" borderId="0" xfId="0" applyFont="1" applyAlignment="1">
      <alignment vertical="center"/>
    </xf>
    <xf numFmtId="164" fontId="2" fillId="0" borderId="0" xfId="0" applyNumberFormat="1" applyFont="1"/>
    <xf numFmtId="0" fontId="3" fillId="0" borderId="2" xfId="0" applyFont="1" applyBorder="1" applyAlignment="1">
      <alignment horizontal="center" vertical="center"/>
    </xf>
    <xf numFmtId="0" fontId="4" fillId="0" borderId="2" xfId="0" applyFont="1" applyBorder="1" applyAlignment="1">
      <alignment horizontal="center" vertical="center" wrapText="1"/>
    </xf>
    <xf numFmtId="0" fontId="3" fillId="0" borderId="2" xfId="0" applyFont="1" applyBorder="1" applyAlignment="1">
      <alignment horizontal="center" vertical="center" wrapText="1"/>
    </xf>
    <xf numFmtId="0" fontId="2" fillId="0" borderId="2" xfId="0" applyFont="1" applyBorder="1" applyAlignment="1">
      <alignment vertical="center" wrapText="1"/>
    </xf>
    <xf numFmtId="0" fontId="2" fillId="0" borderId="2" xfId="0" applyFont="1" applyBorder="1" applyAlignment="1">
      <alignment horizontal="center" vertical="center" wrapText="1"/>
    </xf>
    <xf numFmtId="0" fontId="2" fillId="0" borderId="2" xfId="0" applyFont="1" applyBorder="1" applyAlignment="1">
      <alignment horizontal="right" vertical="center" wrapText="1"/>
    </xf>
    <xf numFmtId="0" fontId="2" fillId="0" borderId="2" xfId="0" applyFont="1" applyBorder="1" applyAlignment="1">
      <alignment horizontal="left" vertical="center" wrapText="1" indent="1"/>
    </xf>
    <xf numFmtId="8" fontId="2" fillId="0" borderId="2" xfId="0" applyNumberFormat="1" applyFont="1" applyBorder="1" applyAlignment="1">
      <alignment horizontal="right" vertical="center" wrapText="1"/>
    </xf>
    <xf numFmtId="0" fontId="2" fillId="0" borderId="2" xfId="0" applyFont="1" applyBorder="1" applyAlignment="1">
      <alignment horizontal="left" vertical="center" wrapText="1" indent="2"/>
    </xf>
    <xf numFmtId="165" fontId="2" fillId="0" borderId="2" xfId="0" applyNumberFormat="1" applyFont="1" applyBorder="1" applyAlignment="1">
      <alignment horizontal="center" vertical="center" wrapText="1"/>
    </xf>
    <xf numFmtId="1" fontId="2" fillId="0" borderId="2" xfId="0" applyNumberFormat="1" applyFont="1" applyBorder="1" applyAlignment="1">
      <alignment horizontal="center" vertical="center" wrapText="1"/>
    </xf>
    <xf numFmtId="0" fontId="7" fillId="0" borderId="2" xfId="0" applyFont="1" applyBorder="1" applyAlignment="1">
      <alignment vertical="center" wrapText="1"/>
    </xf>
    <xf numFmtId="6" fontId="3" fillId="0" borderId="2" xfId="0" applyNumberFormat="1" applyFont="1" applyBorder="1" applyAlignment="1">
      <alignment horizontal="right" vertical="center" wrapText="1"/>
    </xf>
    <xf numFmtId="0" fontId="3" fillId="0" borderId="2" xfId="0" applyFont="1" applyBorder="1" applyAlignment="1">
      <alignment vertical="center" wrapText="1"/>
    </xf>
    <xf numFmtId="3" fontId="3" fillId="0" borderId="2" xfId="0" applyNumberFormat="1" applyFont="1" applyBorder="1" applyAlignment="1">
      <alignment horizontal="center" vertical="center" wrapText="1"/>
    </xf>
    <xf numFmtId="0" fontId="3" fillId="0" borderId="0" xfId="0" applyFont="1" applyAlignment="1">
      <alignment vertical="center"/>
    </xf>
    <xf numFmtId="0" fontId="1" fillId="0" borderId="0" xfId="0" applyFont="1"/>
    <xf numFmtId="0" fontId="2" fillId="0" borderId="0" xfId="0" applyFont="1"/>
    <xf numFmtId="0" fontId="8" fillId="0" borderId="0" xfId="0" applyFont="1"/>
    <xf numFmtId="0" fontId="9" fillId="0" borderId="0" xfId="0" applyFont="1"/>
    <xf numFmtId="0" fontId="10" fillId="0" borderId="0" xfId="0" applyFont="1"/>
    <xf numFmtId="0" fontId="3" fillId="0" borderId="2" xfId="0" applyFont="1" applyBorder="1"/>
    <xf numFmtId="6" fontId="2" fillId="0" borderId="2" xfId="0" applyNumberFormat="1" applyFont="1" applyBorder="1" applyAlignment="1">
      <alignment horizontal="center"/>
    </xf>
    <xf numFmtId="6" fontId="3" fillId="0" borderId="2" xfId="0" applyNumberFormat="1" applyFont="1" applyBorder="1"/>
    <xf numFmtId="0" fontId="12" fillId="0" borderId="2" xfId="0" applyFont="1" applyBorder="1" applyAlignment="1">
      <alignment horizontal="center" vertical="center" wrapText="1"/>
    </xf>
    <xf numFmtId="0" fontId="13" fillId="0" borderId="0" xfId="0" applyFont="1" applyAlignment="1">
      <alignment horizontal="left" vertical="center"/>
    </xf>
    <xf numFmtId="0" fontId="14" fillId="0" borderId="2" xfId="0" applyFont="1" applyBorder="1" applyAlignment="1">
      <alignment horizontal="center" vertical="center"/>
    </xf>
    <xf numFmtId="0" fontId="14" fillId="0" borderId="2" xfId="0" applyFont="1" applyBorder="1" applyAlignment="1">
      <alignment vertical="center"/>
    </xf>
    <xf numFmtId="0" fontId="2" fillId="0" borderId="0" xfId="0" applyFont="1" applyAlignment="1">
      <alignment vertical="center"/>
    </xf>
    <xf numFmtId="0" fontId="14" fillId="0" borderId="2" xfId="0" applyFont="1" applyBorder="1" applyAlignment="1">
      <alignment vertical="center" wrapText="1"/>
    </xf>
    <xf numFmtId="0" fontId="14" fillId="0" borderId="2" xfId="0" applyFont="1" applyBorder="1" applyAlignment="1">
      <alignment horizontal="center" vertical="center" wrapText="1"/>
    </xf>
    <xf numFmtId="6" fontId="0" fillId="0" borderId="0" xfId="0" applyNumberFormat="1"/>
    <xf numFmtId="6" fontId="2" fillId="0" borderId="2" xfId="0" applyNumberFormat="1" applyFont="1" applyBorder="1" applyAlignment="1">
      <alignment vertical="top" wrapText="1"/>
    </xf>
    <xf numFmtId="6" fontId="2" fillId="0" borderId="2" xfId="0" applyNumberFormat="1" applyFont="1" applyBorder="1" applyAlignment="1">
      <alignment horizontal="right"/>
    </xf>
    <xf numFmtId="0" fontId="14" fillId="0" borderId="2" xfId="0" applyFont="1" applyBorder="1" applyAlignment="1">
      <alignment horizontal="center" wrapText="1"/>
    </xf>
    <xf numFmtId="164" fontId="11" fillId="0" borderId="2" xfId="0" applyNumberFormat="1" applyFont="1" applyBorder="1" applyAlignment="1">
      <alignment horizontal="center"/>
    </xf>
    <xf numFmtId="164" fontId="11" fillId="0" borderId="2" xfId="0" applyNumberFormat="1" applyFont="1" applyBorder="1" applyAlignment="1">
      <alignment vertical="top" wrapText="1"/>
    </xf>
    <xf numFmtId="0" fontId="12" fillId="0" borderId="2" xfId="0" applyFont="1" applyBorder="1" applyAlignment="1">
      <alignment vertical="center" wrapText="1"/>
    </xf>
    <xf numFmtId="0" fontId="13" fillId="0" borderId="2" xfId="0" applyFont="1" applyBorder="1" applyAlignment="1">
      <alignment vertical="center" wrapText="1"/>
    </xf>
    <xf numFmtId="2" fontId="2" fillId="0" borderId="2" xfId="0" applyNumberFormat="1" applyFont="1" applyBorder="1" applyAlignment="1">
      <alignment horizontal="center" vertical="center" wrapText="1"/>
    </xf>
    <xf numFmtId="166" fontId="19" fillId="2" borderId="0" xfId="0" applyNumberFormat="1" applyFont="1" applyFill="1" applyAlignment="1">
      <alignment vertical="center"/>
    </xf>
    <xf numFmtId="166" fontId="19" fillId="2" borderId="0" xfId="0" applyNumberFormat="1" applyFont="1" applyFill="1" applyAlignment="1">
      <alignment vertical="center" wrapText="1"/>
    </xf>
    <xf numFmtId="166" fontId="20" fillId="2" borderId="2" xfId="0" applyNumberFormat="1" applyFont="1" applyFill="1" applyBorder="1" applyAlignment="1">
      <alignment horizontal="center"/>
    </xf>
    <xf numFmtId="166" fontId="11" fillId="2" borderId="2" xfId="0" applyNumberFormat="1" applyFont="1" applyFill="1" applyBorder="1" applyAlignment="1">
      <alignment horizontal="center"/>
    </xf>
    <xf numFmtId="166" fontId="20" fillId="3" borderId="2" xfId="0" applyNumberFormat="1" applyFont="1" applyFill="1" applyBorder="1" applyAlignment="1">
      <alignment horizontal="center" wrapText="1"/>
    </xf>
    <xf numFmtId="166" fontId="20" fillId="0" borderId="2" xfId="0" applyNumberFormat="1" applyFont="1" applyBorder="1" applyAlignment="1">
      <alignment horizontal="center" wrapText="1"/>
    </xf>
    <xf numFmtId="3" fontId="11" fillId="3" borderId="2" xfId="0" applyNumberFormat="1" applyFont="1" applyFill="1" applyBorder="1" applyAlignment="1">
      <alignment horizontal="center"/>
    </xf>
    <xf numFmtId="167" fontId="11" fillId="3" borderId="2" xfId="0" applyNumberFormat="1" applyFont="1" applyFill="1" applyBorder="1" applyAlignment="1">
      <alignment horizontal="center"/>
    </xf>
    <xf numFmtId="3" fontId="20" fillId="3" borderId="2" xfId="0" applyNumberFormat="1" applyFont="1" applyFill="1" applyBorder="1" applyAlignment="1">
      <alignment horizontal="center"/>
    </xf>
    <xf numFmtId="167" fontId="20" fillId="3" borderId="2" xfId="0" applyNumberFormat="1" applyFont="1" applyFill="1" applyBorder="1" applyAlignment="1">
      <alignment horizontal="center"/>
    </xf>
    <xf numFmtId="2" fontId="2" fillId="0" borderId="2" xfId="0" applyNumberFormat="1" applyFont="1" applyBorder="1" applyAlignment="1">
      <alignment horizontal="center" wrapText="1"/>
    </xf>
    <xf numFmtId="2" fontId="2" fillId="0" borderId="2" xfId="0" applyNumberFormat="1" applyFont="1" applyBorder="1" applyAlignment="1">
      <alignment horizontal="center"/>
    </xf>
    <xf numFmtId="168" fontId="0" fillId="0" borderId="0" xfId="0" applyNumberFormat="1"/>
    <xf numFmtId="167" fontId="0" fillId="0" borderId="0" xfId="0" applyNumberFormat="1"/>
    <xf numFmtId="166" fontId="20" fillId="2" borderId="7" xfId="0" applyNumberFormat="1" applyFont="1" applyFill="1" applyBorder="1" applyAlignment="1">
      <alignment horizontal="center"/>
    </xf>
    <xf numFmtId="166" fontId="20" fillId="2" borderId="7" xfId="0" applyNumberFormat="1" applyFont="1" applyFill="1" applyBorder="1" applyAlignment="1">
      <alignment horizontal="center" wrapText="1"/>
    </xf>
    <xf numFmtId="166" fontId="11" fillId="2" borderId="3" xfId="0" applyNumberFormat="1" applyFont="1" applyFill="1" applyBorder="1" applyAlignment="1">
      <alignment horizontal="center"/>
    </xf>
    <xf numFmtId="3" fontId="11" fillId="2" borderId="3" xfId="0" applyNumberFormat="1" applyFont="1" applyFill="1" applyBorder="1" applyAlignment="1">
      <alignment horizontal="center"/>
    </xf>
    <xf numFmtId="167" fontId="11" fillId="2" borderId="8" xfId="0" applyNumberFormat="1" applyFont="1" applyFill="1" applyBorder="1" applyAlignment="1">
      <alignment horizontal="center"/>
    </xf>
    <xf numFmtId="167" fontId="11" fillId="2" borderId="3" xfId="0" applyNumberFormat="1" applyFont="1" applyFill="1" applyBorder="1" applyAlignment="1">
      <alignment horizontal="center"/>
    </xf>
    <xf numFmtId="167" fontId="11" fillId="2" borderId="2" xfId="0" applyNumberFormat="1" applyFont="1" applyFill="1" applyBorder="1" applyAlignment="1">
      <alignment horizontal="center"/>
    </xf>
    <xf numFmtId="166" fontId="11" fillId="2" borderId="7" xfId="0" applyNumberFormat="1" applyFont="1" applyFill="1" applyBorder="1" applyAlignment="1">
      <alignment horizontal="center"/>
    </xf>
    <xf numFmtId="3" fontId="11" fillId="2" borderId="7" xfId="0" applyNumberFormat="1" applyFont="1" applyFill="1" applyBorder="1" applyAlignment="1">
      <alignment horizontal="center"/>
    </xf>
    <xf numFmtId="167" fontId="11" fillId="2" borderId="9" xfId="0" applyNumberFormat="1" applyFont="1" applyFill="1" applyBorder="1" applyAlignment="1">
      <alignment horizontal="center"/>
    </xf>
    <xf numFmtId="167" fontId="11" fillId="2" borderId="7" xfId="0" applyNumberFormat="1" applyFont="1" applyFill="1" applyBorder="1" applyAlignment="1">
      <alignment horizontal="center"/>
    </xf>
    <xf numFmtId="1" fontId="12" fillId="0" borderId="2" xfId="0" applyNumberFormat="1" applyFont="1" applyBorder="1" applyAlignment="1">
      <alignment horizontal="center" vertical="center" wrapText="1"/>
    </xf>
    <xf numFmtId="3" fontId="20" fillId="0" borderId="2" xfId="0" applyNumberFormat="1" applyFont="1" applyBorder="1" applyAlignment="1">
      <alignment horizontal="center"/>
    </xf>
    <xf numFmtId="167" fontId="20" fillId="0" borderId="2" xfId="0" applyNumberFormat="1" applyFont="1" applyBorder="1" applyAlignment="1">
      <alignment horizontal="center"/>
    </xf>
    <xf numFmtId="166" fontId="20" fillId="2" borderId="3" xfId="0" applyNumberFormat="1" applyFont="1" applyFill="1" applyBorder="1" applyAlignment="1">
      <alignment horizontal="center"/>
    </xf>
    <xf numFmtId="3" fontId="20" fillId="2" borderId="3" xfId="0" applyNumberFormat="1" applyFont="1" applyFill="1" applyBorder="1" applyAlignment="1">
      <alignment horizontal="center"/>
    </xf>
    <xf numFmtId="167" fontId="20" fillId="2" borderId="3" xfId="0" applyNumberFormat="1" applyFont="1" applyFill="1" applyBorder="1" applyAlignment="1">
      <alignment horizontal="center"/>
    </xf>
    <xf numFmtId="3" fontId="20" fillId="2" borderId="2" xfId="0" applyNumberFormat="1" applyFont="1" applyFill="1" applyBorder="1" applyAlignment="1">
      <alignment horizontal="center"/>
    </xf>
    <xf numFmtId="167" fontId="20" fillId="2" borderId="2" xfId="0" applyNumberFormat="1" applyFont="1" applyFill="1" applyBorder="1" applyAlignment="1">
      <alignment horizontal="center"/>
    </xf>
    <xf numFmtId="165" fontId="12" fillId="0" borderId="2" xfId="0" applyNumberFormat="1" applyFont="1" applyBorder="1" applyAlignment="1">
      <alignment horizontal="center" vertical="center" wrapText="1"/>
    </xf>
    <xf numFmtId="165" fontId="18" fillId="0" borderId="2" xfId="0" applyNumberFormat="1" applyFont="1" applyBorder="1" applyAlignment="1">
      <alignment horizontal="center" vertical="center" wrapText="1"/>
    </xf>
    <xf numFmtId="165" fontId="11" fillId="0" borderId="2" xfId="0" applyNumberFormat="1" applyFont="1" applyBorder="1" applyAlignment="1">
      <alignment horizontal="center" vertical="center"/>
    </xf>
    <xf numFmtId="165" fontId="14" fillId="0" borderId="2" xfId="0" applyNumberFormat="1" applyFont="1" applyBorder="1" applyAlignment="1">
      <alignment horizontal="center" vertical="center"/>
    </xf>
    <xf numFmtId="1" fontId="4" fillId="0" borderId="2" xfId="0" applyNumberFormat="1" applyFont="1" applyBorder="1" applyAlignment="1">
      <alignment horizontal="center" vertical="center"/>
    </xf>
    <xf numFmtId="0" fontId="21" fillId="0" borderId="0" xfId="0" applyFont="1" applyAlignment="1">
      <alignment vertical="center"/>
    </xf>
    <xf numFmtId="0" fontId="22" fillId="0" borderId="0" xfId="0" applyFont="1" applyAlignment="1">
      <alignment vertical="center"/>
    </xf>
    <xf numFmtId="0" fontId="22" fillId="0" borderId="0" xfId="0" applyFont="1"/>
    <xf numFmtId="0" fontId="22" fillId="0" borderId="0" xfId="0" applyFont="1" applyAlignment="1">
      <alignment horizontal="left" vertical="center" indent="10"/>
    </xf>
    <xf numFmtId="0" fontId="13" fillId="0" borderId="0" xfId="0" applyFont="1" applyAlignment="1">
      <alignment vertical="center"/>
    </xf>
    <xf numFmtId="0" fontId="15"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22" fillId="0" borderId="0" xfId="0" applyFont="1" applyAlignment="1">
      <alignment wrapText="1"/>
    </xf>
    <xf numFmtId="0" fontId="1" fillId="0" borderId="0" xfId="0" applyFont="1" applyAlignment="1">
      <alignment horizontal="center"/>
    </xf>
    <xf numFmtId="0" fontId="2" fillId="0" borderId="0" xfId="0" applyFont="1" applyAlignment="1">
      <alignment horizontal="left" vertical="top" wrapText="1"/>
    </xf>
    <xf numFmtId="0" fontId="6" fillId="0" borderId="0" xfId="0" applyFont="1" applyAlignment="1">
      <alignment horizontal="left" vertical="top"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1" fontId="3" fillId="0" borderId="2" xfId="0" applyNumberFormat="1" applyFont="1" applyBorder="1" applyAlignment="1">
      <alignment horizontal="center" vertical="center" wrapText="1"/>
    </xf>
    <xf numFmtId="3" fontId="3" fillId="0" borderId="2"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6" fillId="0" borderId="0" xfId="0" applyFont="1" applyAlignment="1">
      <alignment horizontal="left" vertical="top"/>
    </xf>
    <xf numFmtId="0" fontId="2" fillId="0" borderId="0" xfId="0" applyFont="1" applyAlignment="1">
      <alignment horizontal="left" vertical="top"/>
    </xf>
    <xf numFmtId="0" fontId="13" fillId="0" borderId="2" xfId="0" applyFont="1" applyBorder="1" applyAlignment="1">
      <alignment horizontal="center" vertical="center" wrapText="1"/>
    </xf>
    <xf numFmtId="0" fontId="14" fillId="0" borderId="4" xfId="0" applyFont="1" applyBorder="1" applyAlignment="1">
      <alignment horizontal="left" vertical="center" wrapText="1"/>
    </xf>
    <xf numFmtId="0" fontId="14" fillId="0" borderId="0" xfId="0" applyFont="1" applyAlignment="1">
      <alignment horizontal="left" vertical="center" wrapText="1"/>
    </xf>
    <xf numFmtId="0" fontId="14" fillId="0" borderId="4" xfId="0" applyFont="1" applyBorder="1" applyAlignment="1">
      <alignment horizontal="left" wrapText="1"/>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15" fillId="0" borderId="2" xfId="0" applyFont="1" applyBorder="1" applyAlignment="1">
      <alignment vertical="center" wrapText="1"/>
    </xf>
    <xf numFmtId="0" fontId="2" fillId="0" borderId="4" xfId="0" applyFont="1" applyBorder="1" applyAlignment="1">
      <alignment horizontal="left" wrapText="1"/>
    </xf>
  </cellXfs>
  <cellStyles count="2">
    <cellStyle name="Normal" xfId="0" builtinId="0"/>
    <cellStyle name="Normal 2" xfId="1" xr:uid="{7E6C7388-5E63-4F6D-AA25-0F1E37A8568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6AF83-2779-48F5-B401-F8804F055F73}">
  <dimension ref="A1:Q15"/>
  <sheetViews>
    <sheetView tabSelected="1" workbookViewId="0">
      <selection activeCell="A20" sqref="A20"/>
    </sheetView>
  </sheetViews>
  <sheetFormatPr defaultRowHeight="15" x14ac:dyDescent="0.25"/>
  <sheetData>
    <row r="1" spans="1:17" ht="15.75" x14ac:dyDescent="0.25">
      <c r="A1" s="87" t="s">
        <v>117</v>
      </c>
      <c r="B1" s="87"/>
      <c r="C1" s="87"/>
      <c r="D1" s="87"/>
      <c r="E1" s="87"/>
      <c r="F1" s="87"/>
      <c r="G1" s="87"/>
      <c r="H1" s="87"/>
      <c r="I1" s="87"/>
      <c r="J1" s="87"/>
      <c r="K1" s="87"/>
      <c r="L1" s="87"/>
      <c r="M1" s="87"/>
      <c r="N1" s="87"/>
      <c r="O1" s="87"/>
      <c r="P1" s="87"/>
      <c r="Q1" s="87"/>
    </row>
    <row r="2" spans="1:17" ht="15.75" x14ac:dyDescent="0.25">
      <c r="A2" s="88" t="s">
        <v>118</v>
      </c>
      <c r="B2" s="89"/>
      <c r="C2" s="89"/>
      <c r="D2" s="89"/>
      <c r="E2" s="89"/>
      <c r="F2" s="89"/>
      <c r="G2" s="89"/>
      <c r="H2" s="89"/>
      <c r="I2" s="89"/>
      <c r="J2" s="89"/>
      <c r="K2" s="89"/>
      <c r="L2" s="89"/>
      <c r="M2" s="89"/>
      <c r="N2" s="89"/>
      <c r="O2" s="89"/>
      <c r="P2" s="89"/>
      <c r="Q2" s="89"/>
    </row>
    <row r="3" spans="1:17" ht="15.75" x14ac:dyDescent="0.25">
      <c r="A3" s="90" t="s">
        <v>123</v>
      </c>
      <c r="B3" s="90"/>
      <c r="C3" s="90"/>
      <c r="D3" s="90"/>
      <c r="E3" s="90"/>
      <c r="F3" s="90"/>
      <c r="G3" s="90"/>
      <c r="H3" s="90"/>
      <c r="I3" s="90"/>
      <c r="J3" s="90"/>
      <c r="K3" s="90"/>
      <c r="L3" s="90"/>
      <c r="M3" s="90"/>
      <c r="N3" s="90"/>
      <c r="O3" s="90"/>
      <c r="P3" s="90"/>
      <c r="Q3" s="90"/>
    </row>
    <row r="4" spans="1:17" ht="15.75" x14ac:dyDescent="0.25">
      <c r="A4" s="82"/>
      <c r="B4" s="83"/>
      <c r="C4" s="83"/>
      <c r="D4" s="83"/>
      <c r="E4" s="83"/>
      <c r="F4" s="83"/>
      <c r="G4" s="83"/>
      <c r="H4" s="83"/>
      <c r="I4" s="83"/>
      <c r="J4" s="83"/>
      <c r="K4" s="83"/>
      <c r="L4" s="83"/>
      <c r="M4" s="83"/>
      <c r="N4" s="83"/>
      <c r="O4" s="83"/>
      <c r="P4" s="83"/>
      <c r="Q4" s="83"/>
    </row>
    <row r="5" spans="1:17" ht="15.75" x14ac:dyDescent="0.25">
      <c r="A5" s="1" t="s">
        <v>119</v>
      </c>
      <c r="B5" s="83"/>
      <c r="C5" s="83"/>
      <c r="D5" s="83"/>
      <c r="E5" s="83"/>
      <c r="F5" s="83"/>
      <c r="G5" s="83"/>
      <c r="H5" s="83"/>
      <c r="I5" s="83"/>
      <c r="J5" s="83"/>
      <c r="K5" s="83"/>
      <c r="L5" s="83"/>
      <c r="M5" s="83"/>
      <c r="N5" s="83"/>
      <c r="O5" s="83"/>
      <c r="P5" s="83"/>
      <c r="Q5" s="83"/>
    </row>
    <row r="6" spans="1:17" ht="15.75" x14ac:dyDescent="0.25">
      <c r="A6" s="82" t="s">
        <v>124</v>
      </c>
      <c r="B6" s="83"/>
      <c r="C6" s="83"/>
      <c r="D6" s="83"/>
      <c r="E6" s="83"/>
      <c r="F6" s="83"/>
      <c r="G6" s="83"/>
      <c r="H6" s="83"/>
      <c r="I6" s="83"/>
      <c r="J6" s="83"/>
      <c r="K6" s="83"/>
      <c r="L6" s="83"/>
      <c r="M6" s="83"/>
      <c r="N6" s="83"/>
      <c r="O6" s="83"/>
      <c r="P6" s="83"/>
      <c r="Q6" s="83"/>
    </row>
    <row r="7" spans="1:17" ht="15.75" x14ac:dyDescent="0.25">
      <c r="A7" s="84"/>
      <c r="B7" s="83"/>
      <c r="C7" s="83"/>
      <c r="D7" s="83"/>
      <c r="E7" s="83"/>
      <c r="F7" s="83"/>
      <c r="G7" s="83"/>
      <c r="H7" s="83"/>
      <c r="I7" s="83"/>
      <c r="J7" s="83"/>
      <c r="K7" s="83"/>
      <c r="L7" s="83"/>
      <c r="M7" s="83"/>
      <c r="N7" s="83"/>
      <c r="O7" s="83"/>
      <c r="P7" s="83"/>
      <c r="Q7" s="83"/>
    </row>
    <row r="8" spans="1:17" ht="15.75" x14ac:dyDescent="0.25">
      <c r="A8" s="19" t="s">
        <v>120</v>
      </c>
      <c r="B8" s="83"/>
      <c r="C8" s="83"/>
      <c r="D8" s="83"/>
      <c r="E8" s="83"/>
      <c r="F8" s="83"/>
      <c r="G8" s="83"/>
      <c r="H8" s="83"/>
      <c r="I8" s="83"/>
      <c r="J8" s="83"/>
      <c r="K8" s="83"/>
      <c r="L8" s="83"/>
      <c r="M8" s="83"/>
      <c r="N8" s="83"/>
      <c r="O8" s="83"/>
      <c r="P8" s="83"/>
      <c r="Q8" s="83"/>
    </row>
    <row r="9" spans="1:17" ht="15.75" x14ac:dyDescent="0.25">
      <c r="A9" s="82" t="s">
        <v>125</v>
      </c>
      <c r="B9" s="83"/>
      <c r="C9" s="83"/>
      <c r="D9" s="83"/>
      <c r="E9" s="83"/>
      <c r="F9" s="83"/>
      <c r="G9" s="83"/>
      <c r="H9" s="83"/>
      <c r="I9" s="83"/>
      <c r="J9" s="83"/>
      <c r="K9" s="83"/>
      <c r="L9" s="83"/>
      <c r="M9" s="83"/>
      <c r="N9" s="83"/>
      <c r="O9" s="83"/>
      <c r="P9" s="83"/>
      <c r="Q9" s="83"/>
    </row>
    <row r="10" spans="1:17" ht="15.75" x14ac:dyDescent="0.25">
      <c r="A10" s="83"/>
      <c r="B10" s="83"/>
      <c r="C10" s="83"/>
      <c r="D10" s="83"/>
      <c r="E10" s="83"/>
      <c r="F10" s="83"/>
      <c r="G10" s="83"/>
      <c r="H10" s="83"/>
      <c r="I10" s="83"/>
      <c r="J10" s="83"/>
      <c r="K10" s="83"/>
      <c r="L10" s="83"/>
      <c r="M10" s="83"/>
      <c r="N10" s="83"/>
      <c r="O10" s="83"/>
      <c r="P10" s="83"/>
      <c r="Q10" s="83"/>
    </row>
    <row r="11" spans="1:17" ht="15.75" x14ac:dyDescent="0.25">
      <c r="A11" s="85" t="s">
        <v>121</v>
      </c>
      <c r="B11" s="85"/>
      <c r="C11" s="83"/>
      <c r="D11" s="83"/>
      <c r="E11" s="83"/>
      <c r="F11" s="83"/>
      <c r="G11" s="83"/>
      <c r="H11" s="83"/>
      <c r="I11" s="83"/>
      <c r="J11" s="83"/>
      <c r="K11" s="83"/>
      <c r="L11" s="83"/>
      <c r="M11" s="83"/>
      <c r="N11" s="83"/>
      <c r="O11" s="83"/>
      <c r="P11" s="83"/>
      <c r="Q11" s="83"/>
    </row>
    <row r="12" spans="1:17" ht="15.75" x14ac:dyDescent="0.25">
      <c r="A12" s="86" t="s">
        <v>126</v>
      </c>
      <c r="B12" s="83"/>
      <c r="C12" s="83"/>
      <c r="D12" s="83"/>
      <c r="E12" s="83"/>
      <c r="F12" s="83"/>
      <c r="G12" s="83"/>
      <c r="H12" s="83"/>
      <c r="I12" s="83"/>
      <c r="J12" s="83"/>
      <c r="K12" s="83"/>
      <c r="L12" s="83"/>
      <c r="M12" s="83"/>
      <c r="N12" s="83"/>
      <c r="O12" s="83"/>
      <c r="P12" s="83"/>
      <c r="Q12" s="83"/>
    </row>
    <row r="13" spans="1:17" ht="15.75" x14ac:dyDescent="0.25">
      <c r="A13" s="83"/>
      <c r="B13" s="83"/>
      <c r="C13" s="83"/>
      <c r="D13" s="83"/>
      <c r="E13" s="83"/>
      <c r="F13" s="83"/>
      <c r="G13" s="83"/>
      <c r="H13" s="83"/>
      <c r="I13" s="83"/>
      <c r="J13" s="83"/>
      <c r="K13" s="83"/>
      <c r="L13" s="83"/>
      <c r="M13" s="83"/>
      <c r="N13" s="83"/>
      <c r="O13" s="83"/>
      <c r="P13" s="83"/>
      <c r="Q13" s="83"/>
    </row>
    <row r="14" spans="1:17" ht="15.75" x14ac:dyDescent="0.25">
      <c r="A14" s="19" t="s">
        <v>122</v>
      </c>
      <c r="B14" s="83"/>
      <c r="C14" s="83"/>
      <c r="D14" s="83"/>
      <c r="E14" s="83"/>
      <c r="F14" s="83"/>
      <c r="G14" s="83"/>
      <c r="H14" s="83"/>
      <c r="I14" s="83"/>
      <c r="J14" s="83"/>
      <c r="K14" s="83"/>
      <c r="L14" s="83"/>
      <c r="M14" s="83"/>
      <c r="N14" s="83"/>
      <c r="O14" s="83"/>
      <c r="P14" s="83"/>
      <c r="Q14" s="83"/>
    </row>
    <row r="15" spans="1:17" ht="15.75" x14ac:dyDescent="0.25">
      <c r="A15" s="86" t="s">
        <v>127</v>
      </c>
      <c r="B15" s="83"/>
      <c r="C15" s="83"/>
      <c r="D15" s="83"/>
      <c r="E15" s="83"/>
      <c r="F15" s="83"/>
      <c r="G15" s="83"/>
      <c r="H15" s="83"/>
      <c r="I15" s="83"/>
      <c r="J15" s="83"/>
      <c r="K15" s="83"/>
      <c r="L15" s="83"/>
      <c r="M15" s="83"/>
      <c r="N15" s="83"/>
      <c r="O15" s="83"/>
      <c r="P15" s="83"/>
      <c r="Q15" s="83"/>
    </row>
  </sheetData>
  <sheetProtection algorithmName="SHA-512" hashValue="dL5rylPX5VUMyGwjRH/IcyWdl6y99SQRTOCHjUUlZLRYiP3c4UDpO12BTHKfUHyB/kLzbUiLPb0RonxJ0HYu4A==" saltValue="AO5XAvUHBtIbrWtgap+qcQ==" spinCount="100000" sheet="1" objects="1" scenarios="1"/>
  <mergeCells count="3">
    <mergeCell ref="A1:Q1"/>
    <mergeCell ref="A2:Q2"/>
    <mergeCell ref="A3:Q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BD54C-57BD-4507-B21F-ED9234306367}">
  <dimension ref="A1:G19"/>
  <sheetViews>
    <sheetView zoomScale="124" zoomScaleNormal="124" workbookViewId="0">
      <selection sqref="A1:G1"/>
    </sheetView>
  </sheetViews>
  <sheetFormatPr defaultRowHeight="15" x14ac:dyDescent="0.25"/>
  <cols>
    <col min="1" max="1" width="48.85546875" bestFit="1" customWidth="1"/>
    <col min="2" max="2" width="14.42578125" customWidth="1"/>
    <col min="3" max="3" width="16.140625" customWidth="1"/>
    <col min="4" max="4" width="14" customWidth="1"/>
    <col min="5" max="5" width="13.140625" customWidth="1"/>
    <col min="6" max="6" width="12" customWidth="1"/>
    <col min="7" max="7" width="17.5703125" customWidth="1"/>
  </cols>
  <sheetData>
    <row r="1" spans="1:7" ht="15.75" x14ac:dyDescent="0.25">
      <c r="A1" s="100" t="s">
        <v>55</v>
      </c>
      <c r="B1" s="100"/>
      <c r="C1" s="100"/>
      <c r="D1" s="100"/>
      <c r="E1" s="100"/>
      <c r="F1" s="100"/>
      <c r="G1" s="100"/>
    </row>
    <row r="2" spans="1:7" x14ac:dyDescent="0.25">
      <c r="A2" s="33" t="s">
        <v>1</v>
      </c>
      <c r="B2" s="33" t="s">
        <v>2</v>
      </c>
      <c r="C2" s="33" t="s">
        <v>3</v>
      </c>
      <c r="D2" s="33" t="s">
        <v>4</v>
      </c>
      <c r="E2" s="33" t="s">
        <v>5</v>
      </c>
      <c r="F2" s="33" t="s">
        <v>6</v>
      </c>
      <c r="G2" s="33" t="s">
        <v>7</v>
      </c>
    </row>
    <row r="3" spans="1:7" ht="42" x14ac:dyDescent="0.25">
      <c r="A3" s="32" t="s">
        <v>64</v>
      </c>
      <c r="B3" s="37" t="s">
        <v>56</v>
      </c>
      <c r="C3" s="37" t="s">
        <v>95</v>
      </c>
      <c r="D3" s="37" t="s">
        <v>61</v>
      </c>
      <c r="E3" s="37" t="s">
        <v>46</v>
      </c>
      <c r="F3" s="37" t="s">
        <v>94</v>
      </c>
      <c r="G3" s="37" t="s">
        <v>62</v>
      </c>
    </row>
    <row r="4" spans="1:7" x14ac:dyDescent="0.25">
      <c r="A4" s="32" t="s">
        <v>57</v>
      </c>
      <c r="B4" s="25">
        <v>3752222.5038671331</v>
      </c>
      <c r="C4" s="53">
        <f>6*((7/3)/19)</f>
        <v>0.73684210526315796</v>
      </c>
      <c r="D4" s="35">
        <f>B4*C4</f>
        <v>2764795.5291652563</v>
      </c>
      <c r="E4" s="25">
        <v>789172.70627979888</v>
      </c>
      <c r="F4" s="53">
        <f>6*(7/19)</f>
        <v>2.2105263157894735</v>
      </c>
      <c r="G4" s="35">
        <f>E4*F4</f>
        <v>1744487.0349342921</v>
      </c>
    </row>
    <row r="5" spans="1:7" x14ac:dyDescent="0.25">
      <c r="A5" s="32" t="s">
        <v>60</v>
      </c>
      <c r="B5" s="25" t="s">
        <v>18</v>
      </c>
      <c r="C5" s="25" t="s">
        <v>18</v>
      </c>
      <c r="D5" s="36" t="s">
        <v>18</v>
      </c>
      <c r="E5" s="25">
        <v>455.30000000000172</v>
      </c>
      <c r="F5" s="53">
        <f>18*7/19</f>
        <v>6.6315789473684212</v>
      </c>
      <c r="G5" s="35">
        <f>E5*F5</f>
        <v>3019.3578947368537</v>
      </c>
    </row>
    <row r="6" spans="1:7" x14ac:dyDescent="0.25">
      <c r="A6" s="32" t="s">
        <v>58</v>
      </c>
      <c r="B6" s="25">
        <v>39276.801030086026</v>
      </c>
      <c r="C6" s="53">
        <f>7*((7/3)/19)</f>
        <v>0.85964912280701755</v>
      </c>
      <c r="D6" s="35">
        <f t="shared" ref="D6:D13" si="0">B6*C6</f>
        <v>33764.267552179219</v>
      </c>
      <c r="E6" s="25">
        <v>98429.222776520503</v>
      </c>
      <c r="F6" s="53">
        <f>7*(7/19)</f>
        <v>2.5789473684210527</v>
      </c>
      <c r="G6" s="35">
        <f t="shared" ref="G6:G13" si="1">E6*F6</f>
        <v>253843.78505523709</v>
      </c>
    </row>
    <row r="7" spans="1:7" x14ac:dyDescent="0.25">
      <c r="A7" s="32" t="s">
        <v>59</v>
      </c>
      <c r="B7" s="25">
        <v>26500</v>
      </c>
      <c r="C7" s="53">
        <f>2*((7/3)/19)</f>
        <v>0.24561403508771931</v>
      </c>
      <c r="D7" s="35">
        <f t="shared" si="0"/>
        <v>6508.771929824562</v>
      </c>
      <c r="E7" s="25">
        <v>2500</v>
      </c>
      <c r="F7" s="53">
        <f>2*(7/19)</f>
        <v>0.73684210526315785</v>
      </c>
      <c r="G7" s="35">
        <f t="shared" si="1"/>
        <v>1842.1052631578946</v>
      </c>
    </row>
    <row r="8" spans="1:7" x14ac:dyDescent="0.25">
      <c r="A8" s="32" t="s">
        <v>65</v>
      </c>
      <c r="B8" s="25">
        <v>46274.210817795822</v>
      </c>
      <c r="C8" s="54">
        <f>1*((7/3)/19)</f>
        <v>0.12280701754385966</v>
      </c>
      <c r="D8" s="35">
        <f t="shared" si="0"/>
        <v>5682.7978197293114</v>
      </c>
      <c r="E8" s="25">
        <v>29580.815967066384</v>
      </c>
      <c r="F8" s="54">
        <f>1*(7/19)</f>
        <v>0.36842105263157893</v>
      </c>
      <c r="G8" s="35">
        <f t="shared" si="1"/>
        <v>10898.195356287615</v>
      </c>
    </row>
    <row r="9" spans="1:7" x14ac:dyDescent="0.25">
      <c r="A9" s="32" t="s">
        <v>66</v>
      </c>
      <c r="B9" s="25">
        <v>134966.99280044303</v>
      </c>
      <c r="C9" s="54">
        <f>1*((7/3)/19)</f>
        <v>0.12280701754385966</v>
      </c>
      <c r="D9" s="35">
        <f t="shared" si="0"/>
        <v>16574.893852685986</v>
      </c>
      <c r="E9" s="25">
        <v>37114.970240665723</v>
      </c>
      <c r="F9" s="54">
        <f t="shared" ref="F9:F13" si="2">1*(7/19)</f>
        <v>0.36842105263157893</v>
      </c>
      <c r="G9" s="35">
        <f t="shared" si="1"/>
        <v>13673.936404455791</v>
      </c>
    </row>
    <row r="10" spans="1:7" x14ac:dyDescent="0.25">
      <c r="A10" s="32" t="s">
        <v>67</v>
      </c>
      <c r="B10" s="25">
        <v>565577.89920620259</v>
      </c>
      <c r="C10" s="54">
        <f>1*((7/3)/19)</f>
        <v>0.12280701754385966</v>
      </c>
      <c r="D10" s="35">
        <f t="shared" si="0"/>
        <v>69456.934990235415</v>
      </c>
      <c r="E10" s="25">
        <v>97732.806418802735</v>
      </c>
      <c r="F10" s="54">
        <f t="shared" si="2"/>
        <v>0.36842105263157893</v>
      </c>
      <c r="G10" s="35">
        <f t="shared" si="1"/>
        <v>36006.823417453634</v>
      </c>
    </row>
    <row r="11" spans="1:7" x14ac:dyDescent="0.25">
      <c r="A11" s="32" t="s">
        <v>68</v>
      </c>
      <c r="B11" s="25">
        <v>879215.23352409073</v>
      </c>
      <c r="C11" s="54">
        <f t="shared" ref="C11:C13" si="3">1*((7/3)/19)</f>
        <v>0.12280701754385966</v>
      </c>
      <c r="D11" s="35">
        <f t="shared" si="0"/>
        <v>107973.80060822167</v>
      </c>
      <c r="E11" s="25">
        <v>150220.95100184606</v>
      </c>
      <c r="F11" s="54">
        <f t="shared" si="2"/>
        <v>0.36842105263157893</v>
      </c>
      <c r="G11" s="35">
        <f t="shared" si="1"/>
        <v>55344.560895416966</v>
      </c>
    </row>
    <row r="12" spans="1:7" x14ac:dyDescent="0.25">
      <c r="A12" s="32" t="s">
        <v>69</v>
      </c>
      <c r="B12" s="25">
        <v>0</v>
      </c>
      <c r="C12" s="54">
        <f t="shared" si="3"/>
        <v>0.12280701754385966</v>
      </c>
      <c r="D12" s="35">
        <f t="shared" si="0"/>
        <v>0</v>
      </c>
      <c r="E12" s="25">
        <v>110031.25000000001</v>
      </c>
      <c r="F12" s="54">
        <f t="shared" si="2"/>
        <v>0.36842105263157893</v>
      </c>
      <c r="G12" s="35">
        <f t="shared" si="1"/>
        <v>40537.828947368427</v>
      </c>
    </row>
    <row r="13" spans="1:7" x14ac:dyDescent="0.25">
      <c r="A13" s="32" t="s">
        <v>70</v>
      </c>
      <c r="B13" s="25">
        <v>0</v>
      </c>
      <c r="C13" s="54">
        <f t="shared" si="3"/>
        <v>0.12280701754385966</v>
      </c>
      <c r="D13" s="35">
        <f t="shared" si="0"/>
        <v>0</v>
      </c>
      <c r="E13" s="38">
        <v>-62117.187499999993</v>
      </c>
      <c r="F13" s="54">
        <f t="shared" si="2"/>
        <v>0.36842105263157893</v>
      </c>
      <c r="G13" s="39">
        <f t="shared" si="1"/>
        <v>-22885.279605263153</v>
      </c>
    </row>
    <row r="14" spans="1:7" ht="16.5" x14ac:dyDescent="0.25">
      <c r="A14" s="24" t="s">
        <v>63</v>
      </c>
      <c r="B14" s="24"/>
      <c r="C14" s="24"/>
      <c r="D14" s="26">
        <f>ROUND(SUM(D4:D13),-4)</f>
        <v>3000000</v>
      </c>
      <c r="E14" s="24"/>
      <c r="F14" s="24"/>
      <c r="G14" s="26">
        <f>ROUND(SUM(G4:G13),-4)</f>
        <v>2140000</v>
      </c>
    </row>
    <row r="15" spans="1:7" ht="38.25" customHeight="1" x14ac:dyDescent="0.25">
      <c r="A15" s="101" t="s">
        <v>71</v>
      </c>
      <c r="B15" s="101"/>
      <c r="C15" s="101"/>
      <c r="D15" s="101"/>
      <c r="E15" s="101"/>
      <c r="F15" s="101"/>
      <c r="G15" s="101"/>
    </row>
    <row r="16" spans="1:7" ht="63.75" customHeight="1" x14ac:dyDescent="0.25">
      <c r="A16" s="102" t="s">
        <v>113</v>
      </c>
      <c r="B16" s="102"/>
      <c r="C16" s="102"/>
      <c r="D16" s="102"/>
      <c r="E16" s="102"/>
      <c r="F16" s="102"/>
      <c r="G16" s="102"/>
    </row>
    <row r="17" spans="1:7" ht="15.75" x14ac:dyDescent="0.25">
      <c r="A17" s="31" t="s">
        <v>93</v>
      </c>
    </row>
    <row r="18" spans="1:7" x14ac:dyDescent="0.25">
      <c r="D18" s="34"/>
      <c r="G18" s="55"/>
    </row>
    <row r="19" spans="1:7" x14ac:dyDescent="0.25">
      <c r="F19" s="34"/>
    </row>
  </sheetData>
  <sheetProtection algorithmName="SHA-512" hashValue="O7xwXOZYSapbPLnuDJ++SlmYJgvqresM5n4/fK+6tn6tsdlK5h9wj+EBr+ZnlBdBvqQ4W+hmPxSvTgH961LJbw==" saltValue="jtNYug97QUJl3rovAuDCYg==" spinCount="100000" sheet="1" objects="1" scenarios="1"/>
  <mergeCells count="3">
    <mergeCell ref="A1:G1"/>
    <mergeCell ref="A15:G15"/>
    <mergeCell ref="A16:G16"/>
  </mergeCells>
  <pageMargins left="0.7" right="0.7" top="0.75" bottom="0.75" header="0.3" footer="0.3"/>
  <pageSetup orientation="portrait" horizontalDpi="4294967293"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51268-E157-4911-90AC-9185DB9AC5A8}">
  <dimension ref="A1:E13"/>
  <sheetViews>
    <sheetView workbookViewId="0">
      <selection activeCell="A2" sqref="A2"/>
    </sheetView>
  </sheetViews>
  <sheetFormatPr defaultRowHeight="15" x14ac:dyDescent="0.25"/>
  <cols>
    <col min="1" max="1" width="26.7109375" customWidth="1"/>
    <col min="2" max="2" width="27.140625" customWidth="1"/>
    <col min="3" max="3" width="18.5703125" customWidth="1"/>
    <col min="4" max="5" width="23.42578125" customWidth="1"/>
  </cols>
  <sheetData>
    <row r="1" spans="1:5" ht="15.75" x14ac:dyDescent="0.25">
      <c r="A1" s="28" t="s">
        <v>100</v>
      </c>
      <c r="B1" s="23"/>
      <c r="C1" s="23"/>
      <c r="D1" s="23"/>
      <c r="E1" s="23"/>
    </row>
    <row r="2" spans="1:5" x14ac:dyDescent="0.25">
      <c r="A2" s="22"/>
      <c r="B2" s="23"/>
      <c r="C2" s="23"/>
      <c r="D2" s="23"/>
      <c r="E2" s="23"/>
    </row>
    <row r="3" spans="1:5" x14ac:dyDescent="0.25">
      <c r="A3" s="3" t="s">
        <v>1</v>
      </c>
      <c r="B3" s="3" t="s">
        <v>2</v>
      </c>
      <c r="C3" s="3" t="s">
        <v>3</v>
      </c>
      <c r="D3" s="3" t="s">
        <v>4</v>
      </c>
      <c r="E3" s="4" t="s">
        <v>5</v>
      </c>
    </row>
    <row r="4" spans="1:5" ht="51" x14ac:dyDescent="0.25">
      <c r="A4" s="5" t="s">
        <v>48</v>
      </c>
      <c r="B4" s="5" t="s">
        <v>115</v>
      </c>
      <c r="C4" s="5" t="s">
        <v>50</v>
      </c>
      <c r="D4" s="5" t="s">
        <v>51</v>
      </c>
      <c r="E4" s="5" t="s">
        <v>52</v>
      </c>
    </row>
    <row r="5" spans="1:5" x14ac:dyDescent="0.25">
      <c r="A5" s="6" t="s">
        <v>23</v>
      </c>
      <c r="B5" s="78">
        <f>Respondents!B9</f>
        <v>2.3333333333333335</v>
      </c>
      <c r="C5" s="29">
        <v>1</v>
      </c>
      <c r="D5" s="29">
        <v>0</v>
      </c>
      <c r="E5" s="79">
        <f>+B5*C5+D5</f>
        <v>2.3333333333333335</v>
      </c>
    </row>
    <row r="6" spans="1:5" x14ac:dyDescent="0.25">
      <c r="A6" s="6" t="s">
        <v>53</v>
      </c>
      <c r="B6" s="78">
        <f>B5*0.2</f>
        <v>0.46666666666666673</v>
      </c>
      <c r="C6" s="29">
        <v>1</v>
      </c>
      <c r="D6" s="29">
        <v>0</v>
      </c>
      <c r="E6" s="79">
        <f t="shared" ref="E6:E10" si="0">+B6*C6+D6</f>
        <v>0.46666666666666673</v>
      </c>
    </row>
    <row r="7" spans="1:5" ht="25.5" x14ac:dyDescent="0.25">
      <c r="A7" s="6" t="s">
        <v>26</v>
      </c>
      <c r="B7" s="78">
        <f>Respondents!B9</f>
        <v>2.3333333333333335</v>
      </c>
      <c r="C7" s="29">
        <v>1</v>
      </c>
      <c r="D7" s="29">
        <v>0</v>
      </c>
      <c r="E7" s="79">
        <f t="shared" si="0"/>
        <v>2.3333333333333335</v>
      </c>
    </row>
    <row r="8" spans="1:5" x14ac:dyDescent="0.25">
      <c r="A8" s="6" t="s">
        <v>27</v>
      </c>
      <c r="B8" s="78">
        <f>Respondents!B9</f>
        <v>2.3333333333333335</v>
      </c>
      <c r="C8" s="29">
        <v>1</v>
      </c>
      <c r="D8" s="29">
        <v>0</v>
      </c>
      <c r="E8" s="79">
        <f t="shared" si="0"/>
        <v>2.3333333333333335</v>
      </c>
    </row>
    <row r="9" spans="1:5" ht="25.5" x14ac:dyDescent="0.25">
      <c r="A9" s="6" t="s">
        <v>28</v>
      </c>
      <c r="B9" s="78">
        <f>B5+B6</f>
        <v>2.8000000000000003</v>
      </c>
      <c r="C9" s="29">
        <v>1</v>
      </c>
      <c r="D9" s="29">
        <v>0</v>
      </c>
      <c r="E9" s="79">
        <f t="shared" si="0"/>
        <v>2.8000000000000003</v>
      </c>
    </row>
    <row r="10" spans="1:5" x14ac:dyDescent="0.25">
      <c r="A10" s="6" t="s">
        <v>29</v>
      </c>
      <c r="B10" s="78">
        <f>Respondents!F9</f>
        <v>4.666666666666667</v>
      </c>
      <c r="C10" s="29">
        <v>2</v>
      </c>
      <c r="D10" s="29">
        <v>0</v>
      </c>
      <c r="E10" s="79">
        <f t="shared" si="0"/>
        <v>9.3333333333333339</v>
      </c>
    </row>
    <row r="11" spans="1:5" x14ac:dyDescent="0.25">
      <c r="A11" s="30"/>
      <c r="B11" s="29"/>
      <c r="C11" s="29"/>
      <c r="D11" s="3" t="s">
        <v>109</v>
      </c>
      <c r="E11" s="80">
        <f>ROUND(SUM(E5:E10),0)</f>
        <v>20</v>
      </c>
    </row>
    <row r="12" spans="1:5" ht="44.25" customHeight="1" x14ac:dyDescent="0.25">
      <c r="A12" s="103" t="s">
        <v>116</v>
      </c>
      <c r="B12" s="103"/>
      <c r="C12" s="103"/>
      <c r="D12" s="103"/>
      <c r="E12" s="103"/>
    </row>
    <row r="13" spans="1:5" x14ac:dyDescent="0.25">
      <c r="A13" s="81"/>
    </row>
  </sheetData>
  <sheetProtection algorithmName="SHA-512" hashValue="O+XlhAkkYe5cLVeWvdEXHNtEbtKGMsu287vLHfISAJGVMdXzMpbBqIWtaXEv+A87DUpFZ8IPgKjLASz4GyGwew==" saltValue="lDBKdUWxDKowRwLzth7kpw==" spinCount="100000" sheet="1" objects="1" scenarios="1"/>
  <mergeCells count="1">
    <mergeCell ref="A12:E12"/>
  </mergeCells>
  <pageMargins left="0.7" right="0.7" top="0.75" bottom="0.75" header="0.3" footer="0.3"/>
  <pageSetup orientation="portrait" horizontalDpi="4294967293"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DB38A-D13A-4562-8ECB-C30F39597E3E}">
  <dimension ref="A1:F10"/>
  <sheetViews>
    <sheetView workbookViewId="0">
      <selection sqref="A1:F1"/>
    </sheetView>
  </sheetViews>
  <sheetFormatPr defaultRowHeight="15" x14ac:dyDescent="0.25"/>
  <cols>
    <col min="2" max="2" width="19" customWidth="1"/>
    <col min="3" max="3" width="20.85546875" customWidth="1"/>
    <col min="4" max="4" width="35" customWidth="1"/>
    <col min="5" max="5" width="26.7109375" customWidth="1"/>
    <col min="6" max="6" width="18.140625" customWidth="1"/>
  </cols>
  <sheetData>
    <row r="1" spans="1:6" ht="15.75" x14ac:dyDescent="0.25">
      <c r="A1" s="106"/>
      <c r="B1" s="106"/>
      <c r="C1" s="106"/>
      <c r="D1" s="106"/>
      <c r="E1" s="106"/>
      <c r="F1" s="106"/>
    </row>
    <row r="2" spans="1:6" ht="15.75" x14ac:dyDescent="0.25">
      <c r="A2" s="100" t="s">
        <v>49</v>
      </c>
      <c r="B2" s="100"/>
      <c r="C2" s="100"/>
      <c r="D2" s="100"/>
      <c r="E2" s="100"/>
      <c r="F2" s="100"/>
    </row>
    <row r="3" spans="1:6" ht="24" x14ac:dyDescent="0.25">
      <c r="A3" s="41"/>
      <c r="B3" s="104" t="s">
        <v>72</v>
      </c>
      <c r="C3" s="105"/>
      <c r="D3" s="40" t="s">
        <v>73</v>
      </c>
      <c r="E3" s="40"/>
      <c r="F3" s="40"/>
    </row>
    <row r="4" spans="1:6" x14ac:dyDescent="0.25">
      <c r="A4" s="32"/>
      <c r="B4" s="33" t="s">
        <v>1</v>
      </c>
      <c r="C4" s="33" t="s">
        <v>2</v>
      </c>
      <c r="D4" s="33" t="s">
        <v>3</v>
      </c>
      <c r="E4" s="33" t="s">
        <v>4</v>
      </c>
      <c r="F4" s="33" t="s">
        <v>5</v>
      </c>
    </row>
    <row r="5" spans="1:6" ht="38.25" x14ac:dyDescent="0.25">
      <c r="A5" s="33" t="s">
        <v>74</v>
      </c>
      <c r="B5" s="32" t="s">
        <v>75</v>
      </c>
      <c r="C5" s="32" t="s">
        <v>76</v>
      </c>
      <c r="D5" s="32" t="s">
        <v>77</v>
      </c>
      <c r="E5" s="32" t="s">
        <v>78</v>
      </c>
      <c r="F5" s="32" t="s">
        <v>79</v>
      </c>
    </row>
    <row r="6" spans="1:6" x14ac:dyDescent="0.25">
      <c r="A6" s="27">
        <v>1</v>
      </c>
      <c r="B6" s="76">
        <f>7/3</f>
        <v>2.3333333333333335</v>
      </c>
      <c r="C6" s="68">
        <v>0</v>
      </c>
      <c r="D6" s="68">
        <v>0</v>
      </c>
      <c r="E6" s="68">
        <v>0</v>
      </c>
      <c r="F6" s="76">
        <f>B6+C6+D6-E6</f>
        <v>2.3333333333333335</v>
      </c>
    </row>
    <row r="7" spans="1:6" x14ac:dyDescent="0.25">
      <c r="A7" s="27">
        <v>2</v>
      </c>
      <c r="B7" s="76">
        <f t="shared" ref="B7:B8" si="0">7/3</f>
        <v>2.3333333333333335</v>
      </c>
      <c r="C7" s="76">
        <f>F6</f>
        <v>2.3333333333333335</v>
      </c>
      <c r="D7" s="68">
        <v>0</v>
      </c>
      <c r="E7" s="68">
        <v>0</v>
      </c>
      <c r="F7" s="76">
        <f t="shared" ref="F7:F8" si="1">B7+C7+D7-E7</f>
        <v>4.666666666666667</v>
      </c>
    </row>
    <row r="8" spans="1:6" x14ac:dyDescent="0.25">
      <c r="A8" s="27">
        <v>3</v>
      </c>
      <c r="B8" s="76">
        <f t="shared" si="0"/>
        <v>2.3333333333333335</v>
      </c>
      <c r="C8" s="76">
        <f>F7</f>
        <v>4.666666666666667</v>
      </c>
      <c r="D8" s="68">
        <v>0</v>
      </c>
      <c r="E8" s="68">
        <v>0</v>
      </c>
      <c r="F8" s="76">
        <f t="shared" si="1"/>
        <v>7</v>
      </c>
    </row>
    <row r="9" spans="1:6" x14ac:dyDescent="0.25">
      <c r="A9" s="27" t="s">
        <v>47</v>
      </c>
      <c r="B9" s="76">
        <f>AVERAGE(B6:B8)</f>
        <v>2.3333333333333335</v>
      </c>
      <c r="C9" s="76">
        <f>AVERAGE(C6:C8)</f>
        <v>2.3333333333333335</v>
      </c>
      <c r="D9" s="68"/>
      <c r="E9" s="68"/>
      <c r="F9" s="77">
        <f>AVERAGE(F6:F8)</f>
        <v>4.666666666666667</v>
      </c>
    </row>
    <row r="10" spans="1:6" ht="29.25" customHeight="1" x14ac:dyDescent="0.25">
      <c r="A10" s="107" t="s">
        <v>114</v>
      </c>
      <c r="B10" s="107"/>
      <c r="C10" s="107"/>
      <c r="D10" s="107"/>
      <c r="E10" s="107"/>
      <c r="F10" s="107"/>
    </row>
  </sheetData>
  <sheetProtection algorithmName="SHA-512" hashValue="qFAR7vfqUcmMOIfRZTkAqLDXrUmgXH14ZPvmxQ2vz1VEJ1V3WMxjjnDxTZ8ythLdNH5cVkYDMs90vfhCf3zK0w==" saltValue="Wm7/nasd67X4JIrhU6cNIA==" spinCount="100000" sheet="1" objects="1" scenarios="1"/>
  <mergeCells count="4">
    <mergeCell ref="B3:C3"/>
    <mergeCell ref="A1:F1"/>
    <mergeCell ref="A2:F2"/>
    <mergeCell ref="A10:F10"/>
  </mergeCells>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6"/>
  <sheetViews>
    <sheetView workbookViewId="0">
      <selection activeCell="A2" sqref="A2"/>
    </sheetView>
  </sheetViews>
  <sheetFormatPr defaultRowHeight="15" x14ac:dyDescent="0.25"/>
  <cols>
    <col min="1" max="1" width="30.28515625" customWidth="1"/>
    <col min="2" max="2" width="11.7109375" customWidth="1"/>
    <col min="3" max="3" width="11.42578125" customWidth="1"/>
    <col min="4" max="4" width="12.42578125" customWidth="1"/>
    <col min="5" max="5" width="12.28515625" customWidth="1"/>
    <col min="6" max="6" width="10.42578125" customWidth="1"/>
    <col min="7" max="7" width="12.28515625" customWidth="1"/>
    <col min="8" max="8" width="10.5703125" customWidth="1"/>
    <col min="9" max="9" width="12.5703125" customWidth="1"/>
  </cols>
  <sheetData>
    <row r="1" spans="1:9" ht="15.75" x14ac:dyDescent="0.25">
      <c r="A1" s="1" t="s">
        <v>101</v>
      </c>
    </row>
    <row r="2" spans="1:9" x14ac:dyDescent="0.25">
      <c r="F2" s="2">
        <v>101.24</v>
      </c>
      <c r="G2" s="2">
        <v>161.34</v>
      </c>
      <c r="H2" s="2">
        <v>45.17</v>
      </c>
      <c r="I2" s="2"/>
    </row>
    <row r="3" spans="1:9" x14ac:dyDescent="0.25">
      <c r="A3" s="93" t="s">
        <v>0</v>
      </c>
      <c r="B3" s="3" t="s">
        <v>1</v>
      </c>
      <c r="C3" s="3" t="s">
        <v>2</v>
      </c>
      <c r="D3" s="3" t="s">
        <v>3</v>
      </c>
      <c r="E3" s="3" t="s">
        <v>4</v>
      </c>
      <c r="F3" s="4" t="s">
        <v>5</v>
      </c>
      <c r="G3" s="3" t="s">
        <v>6</v>
      </c>
      <c r="H3" s="3" t="s">
        <v>7</v>
      </c>
      <c r="I3" s="3" t="s">
        <v>8</v>
      </c>
    </row>
    <row r="4" spans="1:9" ht="63.75" x14ac:dyDescent="0.25">
      <c r="A4" s="94"/>
      <c r="B4" s="5" t="s">
        <v>9</v>
      </c>
      <c r="C4" s="5" t="s">
        <v>10</v>
      </c>
      <c r="D4" s="5" t="s">
        <v>11</v>
      </c>
      <c r="E4" s="5" t="s">
        <v>12</v>
      </c>
      <c r="F4" s="5" t="s">
        <v>13</v>
      </c>
      <c r="G4" s="5" t="s">
        <v>14</v>
      </c>
      <c r="H4" s="5" t="s">
        <v>15</v>
      </c>
      <c r="I4" s="5" t="s">
        <v>16</v>
      </c>
    </row>
    <row r="5" spans="1:9" x14ac:dyDescent="0.25">
      <c r="A5" s="6" t="s">
        <v>17</v>
      </c>
      <c r="B5" s="7" t="s">
        <v>18</v>
      </c>
      <c r="C5" s="7"/>
      <c r="D5" s="7"/>
      <c r="E5" s="7"/>
      <c r="F5" s="7"/>
      <c r="G5" s="7"/>
      <c r="H5" s="7"/>
      <c r="I5" s="8"/>
    </row>
    <row r="6" spans="1:9" x14ac:dyDescent="0.25">
      <c r="A6" s="6" t="s">
        <v>19</v>
      </c>
      <c r="B6" s="7" t="s">
        <v>18</v>
      </c>
      <c r="C6" s="7"/>
      <c r="D6" s="7"/>
      <c r="E6" s="7"/>
      <c r="F6" s="7"/>
      <c r="G6" s="7"/>
      <c r="H6" s="7"/>
      <c r="I6" s="8"/>
    </row>
    <row r="7" spans="1:9" x14ac:dyDescent="0.25">
      <c r="A7" s="6" t="s">
        <v>20</v>
      </c>
      <c r="B7" s="7"/>
      <c r="C7" s="7"/>
      <c r="D7" s="7"/>
      <c r="E7" s="7"/>
      <c r="F7" s="7"/>
      <c r="G7" s="7"/>
      <c r="H7" s="7"/>
      <c r="I7" s="8"/>
    </row>
    <row r="8" spans="1:9" ht="28.5" x14ac:dyDescent="0.25">
      <c r="A8" s="9" t="s">
        <v>21</v>
      </c>
      <c r="B8" s="7"/>
      <c r="C8" s="7"/>
      <c r="D8" s="7"/>
      <c r="E8" s="7"/>
      <c r="F8" s="7"/>
      <c r="G8" s="7"/>
      <c r="H8" s="7"/>
      <c r="I8" s="10"/>
    </row>
    <row r="9" spans="1:9" x14ac:dyDescent="0.25">
      <c r="A9" s="11" t="s">
        <v>80</v>
      </c>
      <c r="B9" s="7">
        <v>8</v>
      </c>
      <c r="C9" s="7">
        <v>1</v>
      </c>
      <c r="D9" s="7">
        <v>1</v>
      </c>
      <c r="E9" s="12">
        <f>7/3</f>
        <v>2.3333333333333335</v>
      </c>
      <c r="F9" s="13">
        <f>+D9*E9</f>
        <v>2.3333333333333335</v>
      </c>
      <c r="G9" s="42">
        <f>+F9*0.05</f>
        <v>0.11666666666666668</v>
      </c>
      <c r="H9" s="42">
        <f>+F9*0.1</f>
        <v>0.23333333333333336</v>
      </c>
      <c r="I9" s="10">
        <f>+$F$2*F9+$G$2*G9+$H$2*H9</f>
        <v>265.58933333333334</v>
      </c>
    </row>
    <row r="10" spans="1:9" x14ac:dyDescent="0.25">
      <c r="A10" s="11" t="s">
        <v>81</v>
      </c>
      <c r="B10" s="7">
        <v>1</v>
      </c>
      <c r="C10" s="7">
        <v>1</v>
      </c>
      <c r="D10" s="7">
        <f>+B10*C10</f>
        <v>1</v>
      </c>
      <c r="E10" s="7">
        <v>0</v>
      </c>
      <c r="F10" s="7">
        <f>+D10*E10</f>
        <v>0</v>
      </c>
      <c r="G10" s="7">
        <f>+F10*0.05</f>
        <v>0</v>
      </c>
      <c r="H10" s="7">
        <f>+F10*0.1</f>
        <v>0</v>
      </c>
      <c r="I10" s="10">
        <f>+$F$2*F10+$G$2*G10+$H$2*H10</f>
        <v>0</v>
      </c>
    </row>
    <row r="11" spans="1:9" x14ac:dyDescent="0.25">
      <c r="A11" s="9" t="s">
        <v>22</v>
      </c>
      <c r="B11" s="7"/>
      <c r="C11" s="7"/>
      <c r="D11" s="7"/>
      <c r="E11" s="7"/>
      <c r="F11" s="7"/>
      <c r="G11" s="7"/>
      <c r="H11" s="7"/>
      <c r="I11" s="8"/>
    </row>
    <row r="12" spans="1:9" x14ac:dyDescent="0.25">
      <c r="A12" s="11" t="s">
        <v>23</v>
      </c>
      <c r="B12" s="7">
        <v>60</v>
      </c>
      <c r="C12" s="7">
        <v>1</v>
      </c>
      <c r="D12" s="7">
        <f t="shared" ref="D12:D22" si="0">+B12*C12</f>
        <v>60</v>
      </c>
      <c r="E12" s="12">
        <f>E9</f>
        <v>2.3333333333333335</v>
      </c>
      <c r="F12" s="7">
        <f t="shared" ref="F12:F18" si="1">+D12*E12</f>
        <v>140</v>
      </c>
      <c r="G12" s="7">
        <f t="shared" ref="G12:G18" si="2">+F12*0.05</f>
        <v>7</v>
      </c>
      <c r="H12" s="7">
        <f t="shared" ref="H12:H18" si="3">+F12*0.1</f>
        <v>14</v>
      </c>
      <c r="I12" s="10">
        <f t="shared" ref="I12:I18" si="4">+$F$2*F12+$G$2*G12+$H$2*H12</f>
        <v>15935.359999999999</v>
      </c>
    </row>
    <row r="13" spans="1:9" ht="15.75" x14ac:dyDescent="0.25">
      <c r="A13" s="11" t="s">
        <v>24</v>
      </c>
      <c r="B13" s="7">
        <v>60</v>
      </c>
      <c r="C13" s="7">
        <v>1</v>
      </c>
      <c r="D13" s="7">
        <f t="shared" si="0"/>
        <v>60</v>
      </c>
      <c r="E13" s="42">
        <f>E12*0.2</f>
        <v>0.46666666666666673</v>
      </c>
      <c r="F13" s="7">
        <f t="shared" si="1"/>
        <v>28.000000000000004</v>
      </c>
      <c r="G13" s="7">
        <f t="shared" si="2"/>
        <v>1.4000000000000004</v>
      </c>
      <c r="H13" s="7">
        <f t="shared" si="3"/>
        <v>2.8000000000000007</v>
      </c>
      <c r="I13" s="10">
        <f t="shared" si="4"/>
        <v>3187.0720000000006</v>
      </c>
    </row>
    <row r="14" spans="1:9" x14ac:dyDescent="0.25">
      <c r="A14" s="9" t="s">
        <v>25</v>
      </c>
      <c r="B14" s="7"/>
      <c r="C14" s="7"/>
      <c r="D14" s="7"/>
      <c r="E14" s="7"/>
      <c r="F14" s="7"/>
      <c r="G14" s="7"/>
      <c r="H14" s="7"/>
      <c r="I14" s="8"/>
    </row>
    <row r="15" spans="1:9" ht="25.5" x14ac:dyDescent="0.25">
      <c r="A15" s="11" t="s">
        <v>26</v>
      </c>
      <c r="B15" s="7">
        <v>2</v>
      </c>
      <c r="C15" s="7">
        <v>1</v>
      </c>
      <c r="D15" s="7">
        <f t="shared" si="0"/>
        <v>2</v>
      </c>
      <c r="E15" s="12">
        <f>E9</f>
        <v>2.3333333333333335</v>
      </c>
      <c r="F15" s="42">
        <f t="shared" si="1"/>
        <v>4.666666666666667</v>
      </c>
      <c r="G15" s="42">
        <f t="shared" si="2"/>
        <v>0.23333333333333336</v>
      </c>
      <c r="H15" s="42">
        <f t="shared" si="3"/>
        <v>0.46666666666666673</v>
      </c>
      <c r="I15" s="10">
        <f t="shared" si="4"/>
        <v>531.17866666666669</v>
      </c>
    </row>
    <row r="16" spans="1:9" x14ac:dyDescent="0.25">
      <c r="A16" s="11" t="s">
        <v>27</v>
      </c>
      <c r="B16" s="7">
        <v>1</v>
      </c>
      <c r="C16" s="7">
        <v>1</v>
      </c>
      <c r="D16" s="7">
        <f t="shared" si="0"/>
        <v>1</v>
      </c>
      <c r="E16" s="12">
        <f>E9</f>
        <v>2.3333333333333335</v>
      </c>
      <c r="F16" s="42">
        <f t="shared" si="1"/>
        <v>2.3333333333333335</v>
      </c>
      <c r="G16" s="42">
        <f t="shared" si="2"/>
        <v>0.11666666666666668</v>
      </c>
      <c r="H16" s="42">
        <f t="shared" si="3"/>
        <v>0.23333333333333336</v>
      </c>
      <c r="I16" s="10">
        <f t="shared" si="4"/>
        <v>265.58933333333334</v>
      </c>
    </row>
    <row r="17" spans="1:9" ht="25.5" x14ac:dyDescent="0.25">
      <c r="A17" s="11" t="s">
        <v>28</v>
      </c>
      <c r="B17" s="7">
        <v>2</v>
      </c>
      <c r="C17" s="7">
        <v>1</v>
      </c>
      <c r="D17" s="7">
        <f t="shared" si="0"/>
        <v>2</v>
      </c>
      <c r="E17" s="12">
        <f>SUM(E12:E13)</f>
        <v>2.8000000000000003</v>
      </c>
      <c r="F17" s="7">
        <f t="shared" si="1"/>
        <v>5.6000000000000005</v>
      </c>
      <c r="G17" s="12">
        <f t="shared" si="2"/>
        <v>0.28000000000000003</v>
      </c>
      <c r="H17" s="12">
        <f t="shared" si="3"/>
        <v>0.56000000000000005</v>
      </c>
      <c r="I17" s="10">
        <f t="shared" si="4"/>
        <v>637.41440000000011</v>
      </c>
    </row>
    <row r="18" spans="1:9" x14ac:dyDescent="0.25">
      <c r="A18" s="11" t="s">
        <v>29</v>
      </c>
      <c r="B18" s="7">
        <v>3</v>
      </c>
      <c r="C18" s="7">
        <v>2</v>
      </c>
      <c r="D18" s="7">
        <f t="shared" si="0"/>
        <v>6</v>
      </c>
      <c r="E18" s="12">
        <f>SUM(E9:E10)</f>
        <v>2.3333333333333335</v>
      </c>
      <c r="F18" s="7">
        <f t="shared" si="1"/>
        <v>14</v>
      </c>
      <c r="G18" s="13">
        <f t="shared" si="2"/>
        <v>0.70000000000000007</v>
      </c>
      <c r="H18" s="13">
        <f t="shared" si="3"/>
        <v>1.4000000000000001</v>
      </c>
      <c r="I18" s="10">
        <f t="shared" si="4"/>
        <v>1593.5360000000001</v>
      </c>
    </row>
    <row r="19" spans="1:9" ht="27" x14ac:dyDescent="0.25">
      <c r="A19" s="14" t="s">
        <v>30</v>
      </c>
      <c r="B19" s="5"/>
      <c r="C19" s="5"/>
      <c r="D19" s="7"/>
      <c r="E19" s="12"/>
      <c r="F19" s="95">
        <f>SUM(F5:H18)</f>
        <v>226.47333333333333</v>
      </c>
      <c r="G19" s="95"/>
      <c r="H19" s="95"/>
      <c r="I19" s="15">
        <f>SUM(I5:I18)</f>
        <v>22415.739733333336</v>
      </c>
    </row>
    <row r="20" spans="1:9" x14ac:dyDescent="0.25">
      <c r="A20" s="6" t="s">
        <v>31</v>
      </c>
      <c r="B20" s="7"/>
      <c r="C20" s="7"/>
      <c r="D20" s="7"/>
      <c r="E20" s="12"/>
      <c r="F20" s="7"/>
      <c r="G20" s="7"/>
      <c r="H20" s="7"/>
      <c r="I20" s="8"/>
    </row>
    <row r="21" spans="1:9" ht="25.5" x14ac:dyDescent="0.25">
      <c r="A21" s="11" t="s">
        <v>32</v>
      </c>
      <c r="B21" s="7">
        <v>1</v>
      </c>
      <c r="C21" s="7">
        <v>12</v>
      </c>
      <c r="D21" s="7">
        <f t="shared" si="0"/>
        <v>12</v>
      </c>
      <c r="E21" s="12">
        <f>E9</f>
        <v>2.3333333333333335</v>
      </c>
      <c r="F21" s="7">
        <f t="shared" ref="F21:F22" si="5">+D21*E21</f>
        <v>28</v>
      </c>
      <c r="G21" s="7">
        <f t="shared" ref="G21:G22" si="6">+F21*0.05</f>
        <v>1.4000000000000001</v>
      </c>
      <c r="H21" s="7">
        <f t="shared" ref="H21:H22" si="7">+F21*0.1</f>
        <v>2.8000000000000003</v>
      </c>
      <c r="I21" s="10">
        <f t="shared" ref="I21:I22" si="8">+$F$2*F21+$G$2*G21+$H$2*H21</f>
        <v>3187.0720000000001</v>
      </c>
    </row>
    <row r="22" spans="1:9" ht="25.5" x14ac:dyDescent="0.25">
      <c r="A22" s="11" t="s">
        <v>33</v>
      </c>
      <c r="B22" s="7">
        <v>1</v>
      </c>
      <c r="C22" s="7">
        <v>8</v>
      </c>
      <c r="D22" s="7">
        <f t="shared" si="0"/>
        <v>8</v>
      </c>
      <c r="E22" s="12">
        <f>E18</f>
        <v>2.3333333333333335</v>
      </c>
      <c r="F22" s="42">
        <f t="shared" si="5"/>
        <v>18.666666666666668</v>
      </c>
      <c r="G22" s="13">
        <f t="shared" si="6"/>
        <v>0.93333333333333346</v>
      </c>
      <c r="H22" s="13">
        <f t="shared" si="7"/>
        <v>1.8666666666666669</v>
      </c>
      <c r="I22" s="10">
        <f t="shared" si="8"/>
        <v>2124.7146666666667</v>
      </c>
    </row>
    <row r="23" spans="1:9" ht="28.5" x14ac:dyDescent="0.25">
      <c r="A23" s="11" t="s">
        <v>86</v>
      </c>
      <c r="B23" s="7">
        <v>1</v>
      </c>
      <c r="C23" s="7">
        <v>1</v>
      </c>
      <c r="D23" s="7">
        <f t="shared" ref="D23" si="9">+B23*C23</f>
        <v>1</v>
      </c>
      <c r="E23" s="13">
        <v>0</v>
      </c>
      <c r="F23" s="13">
        <f t="shared" ref="F23" si="10">+D23*E23</f>
        <v>0</v>
      </c>
      <c r="G23" s="13">
        <f t="shared" ref="G23" si="11">+F23*0.05</f>
        <v>0</v>
      </c>
      <c r="H23" s="13">
        <f t="shared" ref="H23" si="12">+F23*0.1</f>
        <v>0</v>
      </c>
      <c r="I23" s="10">
        <f t="shared" ref="I23" si="13">+$F$2*F23+$G$2*G23+$H$2*H23</f>
        <v>0</v>
      </c>
    </row>
    <row r="24" spans="1:9" ht="15.75" x14ac:dyDescent="0.25">
      <c r="A24" s="11" t="s">
        <v>87</v>
      </c>
      <c r="B24" s="7">
        <v>1</v>
      </c>
      <c r="C24" s="7">
        <v>1</v>
      </c>
      <c r="D24" s="7">
        <f t="shared" ref="D24" si="14">+B24*C24</f>
        <v>1</v>
      </c>
      <c r="E24" s="13">
        <v>0</v>
      </c>
      <c r="F24" s="13">
        <f t="shared" ref="F24" si="15">+D24*E24</f>
        <v>0</v>
      </c>
      <c r="G24" s="13">
        <f t="shared" ref="G24" si="16">+F24*0.05</f>
        <v>0</v>
      </c>
      <c r="H24" s="13">
        <f t="shared" ref="H24" si="17">+F24*0.1</f>
        <v>0</v>
      </c>
      <c r="I24" s="10">
        <f t="shared" ref="I24" si="18">+$F$2*F24+$G$2*G24+$H$2*H24</f>
        <v>0</v>
      </c>
    </row>
    <row r="25" spans="1:9" ht="27" x14ac:dyDescent="0.25">
      <c r="A25" s="14" t="s">
        <v>34</v>
      </c>
      <c r="B25" s="5"/>
      <c r="C25" s="5"/>
      <c r="D25" s="16"/>
      <c r="E25" s="5"/>
      <c r="F25" s="95">
        <f>SUM(F20:H24)</f>
        <v>53.666666666666657</v>
      </c>
      <c r="G25" s="95"/>
      <c r="H25" s="95"/>
      <c r="I25" s="15">
        <f>SUM(I20:I24)</f>
        <v>5311.7866666666669</v>
      </c>
    </row>
    <row r="26" spans="1:9" ht="28.5" x14ac:dyDescent="0.25">
      <c r="A26" s="16" t="s">
        <v>90</v>
      </c>
      <c r="B26" s="16"/>
      <c r="C26" s="16"/>
      <c r="D26" s="16"/>
      <c r="E26" s="16"/>
      <c r="F26" s="96">
        <f>ROUND(F19+F25,0)</f>
        <v>280</v>
      </c>
      <c r="G26" s="96"/>
      <c r="H26" s="96"/>
      <c r="I26" s="15">
        <f>+ROUND(I19+I25,-2)</f>
        <v>27700</v>
      </c>
    </row>
    <row r="27" spans="1:9" ht="28.5" x14ac:dyDescent="0.25">
      <c r="A27" s="16" t="s">
        <v>91</v>
      </c>
      <c r="B27" s="16"/>
      <c r="C27" s="16"/>
      <c r="D27" s="16"/>
      <c r="E27" s="16"/>
      <c r="F27" s="17"/>
      <c r="G27" s="17"/>
      <c r="H27" s="17"/>
      <c r="I27" s="15">
        <f>ROUND('Capital O&amp;M'!$D$14+('Capital O&amp;M'!$G$14/3),-4)</f>
        <v>3710000</v>
      </c>
    </row>
    <row r="28" spans="1:9" ht="15.75" x14ac:dyDescent="0.25">
      <c r="A28" s="16" t="s">
        <v>92</v>
      </c>
      <c r="B28" s="16"/>
      <c r="C28" s="16"/>
      <c r="D28" s="16"/>
      <c r="E28" s="16"/>
      <c r="F28" s="17"/>
      <c r="G28" s="17"/>
      <c r="H28" s="17"/>
      <c r="I28" s="15">
        <f>ROUND(I26+I27,-4)</f>
        <v>3740000</v>
      </c>
    </row>
    <row r="30" spans="1:9" x14ac:dyDescent="0.25">
      <c r="A30" s="18" t="s">
        <v>35</v>
      </c>
    </row>
    <row r="31" spans="1:9" ht="32.25" customHeight="1" x14ac:dyDescent="0.25">
      <c r="A31" s="92" t="s">
        <v>96</v>
      </c>
      <c r="B31" s="92"/>
      <c r="C31" s="92"/>
      <c r="D31" s="92"/>
      <c r="E31" s="92"/>
      <c r="F31" s="92"/>
      <c r="G31" s="92"/>
      <c r="H31" s="92"/>
      <c r="I31" s="92"/>
    </row>
    <row r="32" spans="1:9" ht="87" customHeight="1" x14ac:dyDescent="0.25">
      <c r="A32" s="92" t="s">
        <v>54</v>
      </c>
      <c r="B32" s="92"/>
      <c r="C32" s="92"/>
      <c r="D32" s="92"/>
      <c r="E32" s="92"/>
      <c r="F32" s="92"/>
      <c r="G32" s="92"/>
      <c r="H32" s="92"/>
      <c r="I32" s="92"/>
    </row>
    <row r="33" spans="1:9" x14ac:dyDescent="0.25">
      <c r="A33" s="91" t="s">
        <v>36</v>
      </c>
      <c r="B33" s="91"/>
      <c r="C33" s="91"/>
      <c r="D33" s="91"/>
      <c r="E33" s="91"/>
      <c r="F33" s="91"/>
      <c r="G33" s="91"/>
      <c r="H33" s="91"/>
      <c r="I33" s="91"/>
    </row>
    <row r="34" spans="1:9" ht="15.75" x14ac:dyDescent="0.25">
      <c r="A34" s="92" t="s">
        <v>37</v>
      </c>
      <c r="B34" s="92"/>
      <c r="C34" s="92"/>
      <c r="D34" s="92"/>
      <c r="E34" s="92"/>
      <c r="F34" s="92"/>
      <c r="G34" s="92"/>
      <c r="H34" s="92"/>
      <c r="I34" s="92"/>
    </row>
    <row r="35" spans="1:9" ht="16.5" x14ac:dyDescent="0.25">
      <c r="A35" s="20" t="s">
        <v>88</v>
      </c>
    </row>
    <row r="36" spans="1:9" x14ac:dyDescent="0.25">
      <c r="A36" s="91" t="s">
        <v>89</v>
      </c>
      <c r="B36" s="91"/>
      <c r="C36" s="91"/>
      <c r="D36" s="91"/>
      <c r="E36" s="91"/>
      <c r="F36" s="91"/>
      <c r="G36" s="91"/>
      <c r="H36" s="91"/>
      <c r="I36" s="91"/>
    </row>
  </sheetData>
  <sheetProtection algorithmName="SHA-512" hashValue="VuW1uOwvrHqcCx4XMAqCYZhgMAuV1WCyZTjZ9DW/E28X7LCalhlZojpTXmAFIP+hXxIGh/fCrRdw8HWVJ8gvwA==" saltValue="iWDRsqNjTaJn6C0pkv+O9Q==" spinCount="100000" sheet="1" objects="1" scenarios="1"/>
  <mergeCells count="9">
    <mergeCell ref="A33:I33"/>
    <mergeCell ref="A34:I34"/>
    <mergeCell ref="A36:I36"/>
    <mergeCell ref="A3:A4"/>
    <mergeCell ref="F19:H19"/>
    <mergeCell ref="F25:H25"/>
    <mergeCell ref="F26:H26"/>
    <mergeCell ref="A31:I31"/>
    <mergeCell ref="A32:I32"/>
  </mergeCells>
  <pageMargins left="0.7" right="0.7" top="0.75" bottom="0.75" header="0.3" footer="0.3"/>
  <pageSetup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60029-2B59-4B64-B138-C02DEB1608E0}">
  <dimension ref="A1:I36"/>
  <sheetViews>
    <sheetView workbookViewId="0">
      <selection activeCell="A2" sqref="A2"/>
    </sheetView>
  </sheetViews>
  <sheetFormatPr defaultRowHeight="15" x14ac:dyDescent="0.25"/>
  <cols>
    <col min="1" max="1" width="28.7109375" customWidth="1"/>
    <col min="3" max="3" width="11.42578125" customWidth="1"/>
    <col min="4" max="4" width="12.42578125" customWidth="1"/>
    <col min="5" max="5" width="12.28515625" customWidth="1"/>
    <col min="6" max="6" width="10.42578125" customWidth="1"/>
    <col min="7" max="7" width="12.28515625" customWidth="1"/>
    <col min="8" max="8" width="10.5703125" customWidth="1"/>
    <col min="9" max="9" width="12.5703125" customWidth="1"/>
  </cols>
  <sheetData>
    <row r="1" spans="1:9" ht="15.75" x14ac:dyDescent="0.25">
      <c r="A1" s="1" t="s">
        <v>102</v>
      </c>
    </row>
    <row r="2" spans="1:9" x14ac:dyDescent="0.25">
      <c r="F2" s="2">
        <v>101.24</v>
      </c>
      <c r="G2" s="2">
        <v>161.34</v>
      </c>
      <c r="H2" s="2">
        <v>45.17</v>
      </c>
      <c r="I2" s="2"/>
    </row>
    <row r="3" spans="1:9" x14ac:dyDescent="0.25">
      <c r="A3" s="93" t="s">
        <v>0</v>
      </c>
      <c r="B3" s="3" t="s">
        <v>1</v>
      </c>
      <c r="C3" s="3" t="s">
        <v>2</v>
      </c>
      <c r="D3" s="3" t="s">
        <v>3</v>
      </c>
      <c r="E3" s="3" t="s">
        <v>4</v>
      </c>
      <c r="F3" s="4" t="s">
        <v>5</v>
      </c>
      <c r="G3" s="3" t="s">
        <v>6</v>
      </c>
      <c r="H3" s="3" t="s">
        <v>7</v>
      </c>
      <c r="I3" s="3" t="s">
        <v>8</v>
      </c>
    </row>
    <row r="4" spans="1:9" ht="63.75" x14ac:dyDescent="0.25">
      <c r="A4" s="94"/>
      <c r="B4" s="5" t="s">
        <v>9</v>
      </c>
      <c r="C4" s="5" t="s">
        <v>10</v>
      </c>
      <c r="D4" s="5" t="s">
        <v>11</v>
      </c>
      <c r="E4" s="5" t="s">
        <v>12</v>
      </c>
      <c r="F4" s="5" t="s">
        <v>13</v>
      </c>
      <c r="G4" s="5" t="s">
        <v>14</v>
      </c>
      <c r="H4" s="5" t="s">
        <v>15</v>
      </c>
      <c r="I4" s="5" t="s">
        <v>16</v>
      </c>
    </row>
    <row r="5" spans="1:9" x14ac:dyDescent="0.25">
      <c r="A5" s="6" t="s">
        <v>17</v>
      </c>
      <c r="B5" s="7" t="s">
        <v>18</v>
      </c>
      <c r="C5" s="7"/>
      <c r="D5" s="7"/>
      <c r="E5" s="7"/>
      <c r="F5" s="7"/>
      <c r="G5" s="7"/>
      <c r="H5" s="7"/>
      <c r="I5" s="8"/>
    </row>
    <row r="6" spans="1:9" x14ac:dyDescent="0.25">
      <c r="A6" s="6" t="s">
        <v>19</v>
      </c>
      <c r="B6" s="7" t="s">
        <v>18</v>
      </c>
      <c r="C6" s="7"/>
      <c r="D6" s="7"/>
      <c r="E6" s="7"/>
      <c r="F6" s="7"/>
      <c r="G6" s="7"/>
      <c r="H6" s="7"/>
      <c r="I6" s="8"/>
    </row>
    <row r="7" spans="1:9" x14ac:dyDescent="0.25">
      <c r="A7" s="6" t="s">
        <v>20</v>
      </c>
      <c r="B7" s="7"/>
      <c r="C7" s="7"/>
      <c r="D7" s="7"/>
      <c r="E7" s="7"/>
      <c r="F7" s="7"/>
      <c r="G7" s="7"/>
      <c r="H7" s="7"/>
      <c r="I7" s="8"/>
    </row>
    <row r="8" spans="1:9" ht="28.5" x14ac:dyDescent="0.25">
      <c r="A8" s="9" t="s">
        <v>21</v>
      </c>
      <c r="B8" s="7"/>
      <c r="C8" s="7"/>
      <c r="D8" s="7"/>
      <c r="E8" s="7"/>
      <c r="F8" s="7"/>
      <c r="G8" s="7"/>
      <c r="H8" s="7"/>
      <c r="I8" s="10"/>
    </row>
    <row r="9" spans="1:9" x14ac:dyDescent="0.25">
      <c r="A9" s="11" t="s">
        <v>80</v>
      </c>
      <c r="B9" s="7">
        <v>8</v>
      </c>
      <c r="C9" s="7">
        <v>1</v>
      </c>
      <c r="D9" s="7">
        <v>1</v>
      </c>
      <c r="E9" s="12">
        <f>7/3</f>
        <v>2.3333333333333335</v>
      </c>
      <c r="F9" s="13">
        <f>+D9*E9</f>
        <v>2.3333333333333335</v>
      </c>
      <c r="G9" s="42">
        <f>+F9*0.05</f>
        <v>0.11666666666666668</v>
      </c>
      <c r="H9" s="42">
        <f>+F9*0.1</f>
        <v>0.23333333333333336</v>
      </c>
      <c r="I9" s="10">
        <f>+$F$2*F9+$G$2*G9+$H$2*H9</f>
        <v>265.58933333333334</v>
      </c>
    </row>
    <row r="10" spans="1:9" x14ac:dyDescent="0.25">
      <c r="A10" s="11" t="s">
        <v>81</v>
      </c>
      <c r="B10" s="7">
        <v>1</v>
      </c>
      <c r="C10" s="7">
        <v>1</v>
      </c>
      <c r="D10" s="7">
        <f>+B10*C10</f>
        <v>1</v>
      </c>
      <c r="E10" s="12">
        <f>7/3</f>
        <v>2.3333333333333335</v>
      </c>
      <c r="F10" s="13">
        <f>+D10*E10</f>
        <v>2.3333333333333335</v>
      </c>
      <c r="G10" s="42">
        <f>+F10*0.05</f>
        <v>0.11666666666666668</v>
      </c>
      <c r="H10" s="42">
        <f>+F10*0.1</f>
        <v>0.23333333333333336</v>
      </c>
      <c r="I10" s="10">
        <f>+$F$2*F10+$G$2*G10+$H$2*H10</f>
        <v>265.58933333333334</v>
      </c>
    </row>
    <row r="11" spans="1:9" x14ac:dyDescent="0.25">
      <c r="A11" s="9" t="s">
        <v>22</v>
      </c>
      <c r="B11" s="7"/>
      <c r="C11" s="7"/>
      <c r="D11" s="7"/>
      <c r="E11" s="13"/>
      <c r="F11" s="7"/>
      <c r="G11" s="7"/>
      <c r="H11" s="7"/>
      <c r="I11" s="8"/>
    </row>
    <row r="12" spans="1:9" x14ac:dyDescent="0.25">
      <c r="A12" s="11" t="s">
        <v>23</v>
      </c>
      <c r="B12" s="7">
        <v>60</v>
      </c>
      <c r="C12" s="7">
        <v>1</v>
      </c>
      <c r="D12" s="7">
        <f t="shared" ref="D12:D24" si="0">+B12*C12</f>
        <v>60</v>
      </c>
      <c r="E12" s="13">
        <f>E9</f>
        <v>2.3333333333333335</v>
      </c>
      <c r="F12" s="7">
        <f t="shared" ref="F12:F18" si="1">+D12*E12</f>
        <v>140</v>
      </c>
      <c r="G12" s="7">
        <f t="shared" ref="G12:G18" si="2">+F12*0.05</f>
        <v>7</v>
      </c>
      <c r="H12" s="7">
        <f t="shared" ref="H12:H18" si="3">+F12*0.1</f>
        <v>14</v>
      </c>
      <c r="I12" s="10">
        <f t="shared" ref="I12:I18" si="4">+$F$2*F12+$G$2*G12+$H$2*H12</f>
        <v>15935.359999999999</v>
      </c>
    </row>
    <row r="13" spans="1:9" ht="15.75" x14ac:dyDescent="0.25">
      <c r="A13" s="11" t="s">
        <v>24</v>
      </c>
      <c r="B13" s="7">
        <v>60</v>
      </c>
      <c r="C13" s="7">
        <v>1</v>
      </c>
      <c r="D13" s="7">
        <f t="shared" si="0"/>
        <v>60</v>
      </c>
      <c r="E13" s="42">
        <f>E12*0.2</f>
        <v>0.46666666666666673</v>
      </c>
      <c r="F13" s="7">
        <f t="shared" si="1"/>
        <v>28.000000000000004</v>
      </c>
      <c r="G13" s="7">
        <f t="shared" si="2"/>
        <v>1.4000000000000004</v>
      </c>
      <c r="H13" s="7">
        <f t="shared" si="3"/>
        <v>2.8000000000000007</v>
      </c>
      <c r="I13" s="10">
        <f t="shared" si="4"/>
        <v>3187.0720000000006</v>
      </c>
    </row>
    <row r="14" spans="1:9" x14ac:dyDescent="0.25">
      <c r="A14" s="9" t="s">
        <v>25</v>
      </c>
      <c r="B14" s="7"/>
      <c r="C14" s="7"/>
      <c r="D14" s="7"/>
      <c r="E14" s="7"/>
      <c r="F14" s="7"/>
      <c r="G14" s="7"/>
      <c r="H14" s="7"/>
      <c r="I14" s="8"/>
    </row>
    <row r="15" spans="1:9" ht="25.5" x14ac:dyDescent="0.25">
      <c r="A15" s="11" t="s">
        <v>26</v>
      </c>
      <c r="B15" s="7">
        <v>2</v>
      </c>
      <c r="C15" s="7">
        <v>1</v>
      </c>
      <c r="D15" s="7">
        <f t="shared" si="0"/>
        <v>2</v>
      </c>
      <c r="E15" s="13">
        <f>E9</f>
        <v>2.3333333333333335</v>
      </c>
      <c r="F15" s="13">
        <f t="shared" si="1"/>
        <v>4.666666666666667</v>
      </c>
      <c r="G15" s="42">
        <f t="shared" si="2"/>
        <v>0.23333333333333336</v>
      </c>
      <c r="H15" s="42">
        <f t="shared" si="3"/>
        <v>0.46666666666666673</v>
      </c>
      <c r="I15" s="10">
        <f t="shared" si="4"/>
        <v>531.17866666666669</v>
      </c>
    </row>
    <row r="16" spans="1:9" x14ac:dyDescent="0.25">
      <c r="A16" s="11" t="s">
        <v>27</v>
      </c>
      <c r="B16" s="7">
        <v>1</v>
      </c>
      <c r="C16" s="7">
        <v>1</v>
      </c>
      <c r="D16" s="7">
        <f t="shared" si="0"/>
        <v>1</v>
      </c>
      <c r="E16" s="13">
        <f>E9</f>
        <v>2.3333333333333335</v>
      </c>
      <c r="F16" s="13">
        <f t="shared" si="1"/>
        <v>2.3333333333333335</v>
      </c>
      <c r="G16" s="42">
        <f t="shared" si="2"/>
        <v>0.11666666666666668</v>
      </c>
      <c r="H16" s="42">
        <f t="shared" si="3"/>
        <v>0.23333333333333336</v>
      </c>
      <c r="I16" s="10">
        <f t="shared" si="4"/>
        <v>265.58933333333334</v>
      </c>
    </row>
    <row r="17" spans="1:9" ht="25.5" x14ac:dyDescent="0.25">
      <c r="A17" s="11" t="s">
        <v>28</v>
      </c>
      <c r="B17" s="7">
        <v>2</v>
      </c>
      <c r="C17" s="7">
        <v>1</v>
      </c>
      <c r="D17" s="7">
        <f t="shared" si="0"/>
        <v>2</v>
      </c>
      <c r="E17" s="42">
        <f>SUM(E12:E13)</f>
        <v>2.8000000000000003</v>
      </c>
      <c r="F17" s="7">
        <f t="shared" si="1"/>
        <v>5.6000000000000005</v>
      </c>
      <c r="G17" s="12">
        <f t="shared" si="2"/>
        <v>0.28000000000000003</v>
      </c>
      <c r="H17" s="12">
        <f t="shared" si="3"/>
        <v>0.56000000000000005</v>
      </c>
      <c r="I17" s="10">
        <f t="shared" si="4"/>
        <v>637.41440000000011</v>
      </c>
    </row>
    <row r="18" spans="1:9" x14ac:dyDescent="0.25">
      <c r="A18" s="11" t="s">
        <v>29</v>
      </c>
      <c r="B18" s="7">
        <v>3</v>
      </c>
      <c r="C18" s="7">
        <v>2</v>
      </c>
      <c r="D18" s="7">
        <f t="shared" si="0"/>
        <v>6</v>
      </c>
      <c r="E18" s="13">
        <f>SUM(E9:E10)</f>
        <v>4.666666666666667</v>
      </c>
      <c r="F18" s="7">
        <f t="shared" si="1"/>
        <v>28</v>
      </c>
      <c r="G18" s="13">
        <f t="shared" si="2"/>
        <v>1.4000000000000001</v>
      </c>
      <c r="H18" s="13">
        <f t="shared" si="3"/>
        <v>2.8000000000000003</v>
      </c>
      <c r="I18" s="10">
        <f t="shared" si="4"/>
        <v>3187.0720000000001</v>
      </c>
    </row>
    <row r="19" spans="1:9" ht="27" x14ac:dyDescent="0.25">
      <c r="A19" s="14" t="s">
        <v>30</v>
      </c>
      <c r="B19" s="5"/>
      <c r="C19" s="5"/>
      <c r="D19" s="7"/>
      <c r="E19" s="5"/>
      <c r="F19" s="95">
        <f>SUM(F5:H18)</f>
        <v>245.25666666666669</v>
      </c>
      <c r="G19" s="95"/>
      <c r="H19" s="95"/>
      <c r="I19" s="15">
        <f>SUM(I5:I18)</f>
        <v>24274.865066666669</v>
      </c>
    </row>
    <row r="20" spans="1:9" x14ac:dyDescent="0.25">
      <c r="A20" s="6" t="s">
        <v>31</v>
      </c>
      <c r="B20" s="7"/>
      <c r="C20" s="7"/>
      <c r="D20" s="7"/>
      <c r="E20" s="7"/>
      <c r="F20" s="7"/>
      <c r="G20" s="7"/>
      <c r="H20" s="7"/>
      <c r="I20" s="8"/>
    </row>
    <row r="21" spans="1:9" ht="25.5" x14ac:dyDescent="0.25">
      <c r="A21" s="11" t="s">
        <v>32</v>
      </c>
      <c r="B21" s="7">
        <v>1</v>
      </c>
      <c r="C21" s="7">
        <v>12</v>
      </c>
      <c r="D21" s="7">
        <f t="shared" si="0"/>
        <v>12</v>
      </c>
      <c r="E21" s="13">
        <f>E9</f>
        <v>2.3333333333333335</v>
      </c>
      <c r="F21" s="7">
        <f t="shared" ref="F21:F24" si="5">+D21*E21</f>
        <v>28</v>
      </c>
      <c r="G21" s="7">
        <f t="shared" ref="G21:G24" si="6">+F21*0.05</f>
        <v>1.4000000000000001</v>
      </c>
      <c r="H21" s="7">
        <f t="shared" ref="H21:H24" si="7">+F21*0.1</f>
        <v>2.8000000000000003</v>
      </c>
      <c r="I21" s="10">
        <f t="shared" ref="I21:I24" si="8">+$F$2*F21+$G$2*G21+$H$2*H21</f>
        <v>3187.0720000000001</v>
      </c>
    </row>
    <row r="22" spans="1:9" ht="25.5" x14ac:dyDescent="0.25">
      <c r="A22" s="11" t="s">
        <v>33</v>
      </c>
      <c r="B22" s="7">
        <v>1</v>
      </c>
      <c r="C22" s="7">
        <v>8</v>
      </c>
      <c r="D22" s="7">
        <f t="shared" si="0"/>
        <v>8</v>
      </c>
      <c r="E22" s="13">
        <f>E18</f>
        <v>4.666666666666667</v>
      </c>
      <c r="F22" s="13">
        <f t="shared" si="5"/>
        <v>37.333333333333336</v>
      </c>
      <c r="G22" s="13">
        <f t="shared" si="6"/>
        <v>1.8666666666666669</v>
      </c>
      <c r="H22" s="13">
        <f t="shared" si="7"/>
        <v>3.7333333333333338</v>
      </c>
      <c r="I22" s="10">
        <f t="shared" si="8"/>
        <v>4249.4293333333335</v>
      </c>
    </row>
    <row r="23" spans="1:9" ht="28.5" x14ac:dyDescent="0.25">
      <c r="A23" s="11" t="s">
        <v>86</v>
      </c>
      <c r="B23" s="7">
        <v>1</v>
      </c>
      <c r="C23" s="7">
        <v>1</v>
      </c>
      <c r="D23" s="7">
        <f t="shared" si="0"/>
        <v>1</v>
      </c>
      <c r="E23" s="13">
        <v>0</v>
      </c>
      <c r="F23" s="13">
        <f t="shared" si="5"/>
        <v>0</v>
      </c>
      <c r="G23" s="13">
        <f t="shared" si="6"/>
        <v>0</v>
      </c>
      <c r="H23" s="13">
        <f t="shared" si="7"/>
        <v>0</v>
      </c>
      <c r="I23" s="10">
        <f t="shared" si="8"/>
        <v>0</v>
      </c>
    </row>
    <row r="24" spans="1:9" ht="15.75" x14ac:dyDescent="0.25">
      <c r="A24" s="11" t="s">
        <v>87</v>
      </c>
      <c r="B24" s="7">
        <v>1</v>
      </c>
      <c r="C24" s="7">
        <v>1</v>
      </c>
      <c r="D24" s="7">
        <f t="shared" si="0"/>
        <v>1</v>
      </c>
      <c r="E24" s="13">
        <v>0</v>
      </c>
      <c r="F24" s="13">
        <f t="shared" si="5"/>
        <v>0</v>
      </c>
      <c r="G24" s="13">
        <f t="shared" si="6"/>
        <v>0</v>
      </c>
      <c r="H24" s="13">
        <f t="shared" si="7"/>
        <v>0</v>
      </c>
      <c r="I24" s="10">
        <f t="shared" si="8"/>
        <v>0</v>
      </c>
    </row>
    <row r="25" spans="1:9" ht="27" x14ac:dyDescent="0.25">
      <c r="A25" s="14" t="s">
        <v>34</v>
      </c>
      <c r="B25" s="5"/>
      <c r="C25" s="5"/>
      <c r="D25" s="16"/>
      <c r="E25" s="5"/>
      <c r="F25" s="95">
        <f>SUM(F20:H24)</f>
        <v>75.133333333333326</v>
      </c>
      <c r="G25" s="95"/>
      <c r="H25" s="95"/>
      <c r="I25" s="15">
        <f>SUM(I20:I22)</f>
        <v>7436.5013333333336</v>
      </c>
    </row>
    <row r="26" spans="1:9" ht="28.5" x14ac:dyDescent="0.25">
      <c r="A26" s="16" t="s">
        <v>90</v>
      </c>
      <c r="B26" s="16"/>
      <c r="C26" s="16"/>
      <c r="D26" s="16"/>
      <c r="E26" s="16"/>
      <c r="F26" s="96">
        <f>ROUND(F19+F25,0)</f>
        <v>320</v>
      </c>
      <c r="G26" s="96"/>
      <c r="H26" s="96"/>
      <c r="I26" s="15">
        <f>+ROUND(I19+I25,-2)</f>
        <v>31700</v>
      </c>
    </row>
    <row r="27" spans="1:9" ht="28.5" x14ac:dyDescent="0.25">
      <c r="A27" s="16" t="s">
        <v>91</v>
      </c>
      <c r="B27" s="16"/>
      <c r="C27" s="16"/>
      <c r="D27" s="16"/>
      <c r="E27" s="16"/>
      <c r="F27" s="17"/>
      <c r="G27" s="17"/>
      <c r="H27" s="17"/>
      <c r="I27" s="15">
        <f>ROUND('Capital O&amp;M'!$D$14+('Capital O&amp;M'!$G$14/3*2),-4)</f>
        <v>4430000</v>
      </c>
    </row>
    <row r="28" spans="1:9" ht="15.75" x14ac:dyDescent="0.25">
      <c r="A28" s="16" t="s">
        <v>92</v>
      </c>
      <c r="B28" s="16"/>
      <c r="C28" s="16"/>
      <c r="D28" s="16"/>
      <c r="E28" s="16"/>
      <c r="F28" s="17"/>
      <c r="G28" s="17"/>
      <c r="H28" s="17"/>
      <c r="I28" s="15">
        <f>ROUND(I26+I27,-4)</f>
        <v>4460000</v>
      </c>
    </row>
    <row r="30" spans="1:9" x14ac:dyDescent="0.25">
      <c r="A30" s="18" t="s">
        <v>35</v>
      </c>
    </row>
    <row r="31" spans="1:9" ht="32.25" customHeight="1" x14ac:dyDescent="0.25">
      <c r="A31" s="92" t="s">
        <v>96</v>
      </c>
      <c r="B31" s="92"/>
      <c r="C31" s="92"/>
      <c r="D31" s="92"/>
      <c r="E31" s="92"/>
      <c r="F31" s="92"/>
      <c r="G31" s="92"/>
      <c r="H31" s="92"/>
      <c r="I31" s="92"/>
    </row>
    <row r="32" spans="1:9" ht="87" customHeight="1" x14ac:dyDescent="0.25">
      <c r="A32" s="92" t="s">
        <v>54</v>
      </c>
      <c r="B32" s="92"/>
      <c r="C32" s="92"/>
      <c r="D32" s="92"/>
      <c r="E32" s="92"/>
      <c r="F32" s="92"/>
      <c r="G32" s="92"/>
      <c r="H32" s="92"/>
      <c r="I32" s="92"/>
    </row>
    <row r="33" spans="1:9" x14ac:dyDescent="0.25">
      <c r="A33" s="91" t="s">
        <v>36</v>
      </c>
      <c r="B33" s="91"/>
      <c r="C33" s="91"/>
      <c r="D33" s="91"/>
      <c r="E33" s="91"/>
      <c r="F33" s="91"/>
      <c r="G33" s="91"/>
      <c r="H33" s="91"/>
      <c r="I33" s="91"/>
    </row>
    <row r="34" spans="1:9" ht="15.75" x14ac:dyDescent="0.25">
      <c r="A34" s="92" t="s">
        <v>37</v>
      </c>
      <c r="B34" s="92"/>
      <c r="C34" s="92"/>
      <c r="D34" s="92"/>
      <c r="E34" s="92"/>
      <c r="F34" s="92"/>
      <c r="G34" s="92"/>
      <c r="H34" s="92"/>
      <c r="I34" s="92"/>
    </row>
    <row r="35" spans="1:9" ht="15" customHeight="1" x14ac:dyDescent="0.25">
      <c r="A35" s="20" t="s">
        <v>88</v>
      </c>
    </row>
    <row r="36" spans="1:9" x14ac:dyDescent="0.25">
      <c r="A36" s="91" t="s">
        <v>89</v>
      </c>
      <c r="B36" s="91"/>
      <c r="C36" s="91"/>
      <c r="D36" s="91"/>
      <c r="E36" s="91"/>
      <c r="F36" s="91"/>
      <c r="G36" s="91"/>
      <c r="H36" s="91"/>
      <c r="I36" s="91"/>
    </row>
  </sheetData>
  <sheetProtection algorithmName="SHA-512" hashValue="dM6NUdEMOcYi0/tkbkZfrSzNrusTezvxe2UYCIKKHul8uwQ/R9Q/48sumtZPfizovGY1xeIiZ7rDYmcxZ/oWYg==" saltValue="+21/8+oa6w/kqMSjTrvvHw==" spinCount="100000" sheet="1" objects="1" scenarios="1"/>
  <mergeCells count="9">
    <mergeCell ref="A33:I33"/>
    <mergeCell ref="A34:I34"/>
    <mergeCell ref="A36:I36"/>
    <mergeCell ref="A3:A4"/>
    <mergeCell ref="F19:H19"/>
    <mergeCell ref="F25:H25"/>
    <mergeCell ref="F26:H26"/>
    <mergeCell ref="A31:I31"/>
    <mergeCell ref="A32:I3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4FF80-C28C-4374-89DC-73948B605933}">
  <dimension ref="A1:I36"/>
  <sheetViews>
    <sheetView workbookViewId="0">
      <selection activeCell="A2" sqref="A2"/>
    </sheetView>
  </sheetViews>
  <sheetFormatPr defaultRowHeight="15" x14ac:dyDescent="0.25"/>
  <cols>
    <col min="1" max="1" width="28.7109375" customWidth="1"/>
    <col min="3" max="3" width="11.42578125" customWidth="1"/>
    <col min="4" max="4" width="12.42578125" customWidth="1"/>
    <col min="5" max="5" width="12.28515625" customWidth="1"/>
    <col min="6" max="6" width="10.42578125" customWidth="1"/>
    <col min="7" max="7" width="12.28515625" customWidth="1"/>
    <col min="8" max="8" width="10.5703125" customWidth="1"/>
    <col min="9" max="9" width="12.5703125" customWidth="1"/>
  </cols>
  <sheetData>
    <row r="1" spans="1:9" ht="15.75" x14ac:dyDescent="0.25">
      <c r="A1" s="1" t="s">
        <v>103</v>
      </c>
    </row>
    <row r="2" spans="1:9" x14ac:dyDescent="0.25">
      <c r="F2" s="2">
        <v>101.24</v>
      </c>
      <c r="G2" s="2">
        <v>161.34</v>
      </c>
      <c r="H2" s="2">
        <v>45.17</v>
      </c>
      <c r="I2" s="2"/>
    </row>
    <row r="3" spans="1:9" x14ac:dyDescent="0.25">
      <c r="A3" s="93" t="s">
        <v>0</v>
      </c>
      <c r="B3" s="3" t="s">
        <v>1</v>
      </c>
      <c r="C3" s="3" t="s">
        <v>2</v>
      </c>
      <c r="D3" s="3" t="s">
        <v>3</v>
      </c>
      <c r="E3" s="3" t="s">
        <v>4</v>
      </c>
      <c r="F3" s="4" t="s">
        <v>5</v>
      </c>
      <c r="G3" s="3" t="s">
        <v>6</v>
      </c>
      <c r="H3" s="3" t="s">
        <v>7</v>
      </c>
      <c r="I3" s="3" t="s">
        <v>8</v>
      </c>
    </row>
    <row r="4" spans="1:9" ht="63.75" x14ac:dyDescent="0.25">
      <c r="A4" s="94"/>
      <c r="B4" s="5" t="s">
        <v>9</v>
      </c>
      <c r="C4" s="5" t="s">
        <v>10</v>
      </c>
      <c r="D4" s="5" t="s">
        <v>11</v>
      </c>
      <c r="E4" s="5" t="s">
        <v>12</v>
      </c>
      <c r="F4" s="5" t="s">
        <v>13</v>
      </c>
      <c r="G4" s="5" t="s">
        <v>14</v>
      </c>
      <c r="H4" s="5" t="s">
        <v>15</v>
      </c>
      <c r="I4" s="5" t="s">
        <v>16</v>
      </c>
    </row>
    <row r="5" spans="1:9" x14ac:dyDescent="0.25">
      <c r="A5" s="6" t="s">
        <v>17</v>
      </c>
      <c r="B5" s="7" t="s">
        <v>18</v>
      </c>
      <c r="C5" s="7"/>
      <c r="D5" s="7"/>
      <c r="E5" s="7"/>
      <c r="F5" s="7"/>
      <c r="G5" s="7"/>
      <c r="H5" s="7"/>
      <c r="I5" s="8"/>
    </row>
    <row r="6" spans="1:9" x14ac:dyDescent="0.25">
      <c r="A6" s="6" t="s">
        <v>19</v>
      </c>
      <c r="B6" s="7" t="s">
        <v>18</v>
      </c>
      <c r="C6" s="7"/>
      <c r="D6" s="7"/>
      <c r="E6" s="7"/>
      <c r="F6" s="7"/>
      <c r="G6" s="7"/>
      <c r="H6" s="7"/>
      <c r="I6" s="8"/>
    </row>
    <row r="7" spans="1:9" x14ac:dyDescent="0.25">
      <c r="A7" s="6" t="s">
        <v>20</v>
      </c>
      <c r="B7" s="7"/>
      <c r="C7" s="7"/>
      <c r="D7" s="7"/>
      <c r="E7" s="7"/>
      <c r="F7" s="7"/>
      <c r="G7" s="7"/>
      <c r="H7" s="7"/>
      <c r="I7" s="8"/>
    </row>
    <row r="8" spans="1:9" ht="28.5" x14ac:dyDescent="0.25">
      <c r="A8" s="9" t="s">
        <v>21</v>
      </c>
      <c r="B8" s="7"/>
      <c r="C8" s="7"/>
      <c r="D8" s="7"/>
      <c r="E8" s="7"/>
      <c r="F8" s="7"/>
      <c r="G8" s="7"/>
      <c r="H8" s="7"/>
      <c r="I8" s="10"/>
    </row>
    <row r="9" spans="1:9" x14ac:dyDescent="0.25">
      <c r="A9" s="11" t="s">
        <v>80</v>
      </c>
      <c r="B9" s="7">
        <v>8</v>
      </c>
      <c r="C9" s="7">
        <v>1</v>
      </c>
      <c r="D9" s="7">
        <v>1</v>
      </c>
      <c r="E9" s="12">
        <f>7/3</f>
        <v>2.3333333333333335</v>
      </c>
      <c r="F9" s="42">
        <f>+D9*E9</f>
        <v>2.3333333333333335</v>
      </c>
      <c r="G9" s="42">
        <f>+F9*0.05</f>
        <v>0.11666666666666668</v>
      </c>
      <c r="H9" s="42">
        <f>+F9*0.1</f>
        <v>0.23333333333333336</v>
      </c>
      <c r="I9" s="10">
        <f>+$F$2*F9+$G$2*G9+$H$2*H9</f>
        <v>265.58933333333334</v>
      </c>
    </row>
    <row r="10" spans="1:9" x14ac:dyDescent="0.25">
      <c r="A10" s="11" t="s">
        <v>81</v>
      </c>
      <c r="B10" s="7">
        <v>1</v>
      </c>
      <c r="C10" s="7">
        <v>1</v>
      </c>
      <c r="D10" s="7">
        <f>+B10*C10</f>
        <v>1</v>
      </c>
      <c r="E10" s="12">
        <f>'Table 2'!E9+'Table 2'!E10</f>
        <v>4.666666666666667</v>
      </c>
      <c r="F10" s="42">
        <f>+D10*E10</f>
        <v>4.666666666666667</v>
      </c>
      <c r="G10" s="42">
        <f>+F10*0.05</f>
        <v>0.23333333333333336</v>
      </c>
      <c r="H10" s="42">
        <f>+F10*0.1</f>
        <v>0.46666666666666673</v>
      </c>
      <c r="I10" s="10">
        <f>+$F$2*F10+$G$2*G10+$H$2*H10</f>
        <v>531.17866666666669</v>
      </c>
    </row>
    <row r="11" spans="1:9" x14ac:dyDescent="0.25">
      <c r="A11" s="9" t="s">
        <v>22</v>
      </c>
      <c r="B11" s="7"/>
      <c r="C11" s="7"/>
      <c r="D11" s="7"/>
      <c r="E11" s="7"/>
      <c r="F11" s="7"/>
      <c r="G11" s="7"/>
      <c r="H11" s="7"/>
      <c r="I11" s="8"/>
    </row>
    <row r="12" spans="1:9" x14ac:dyDescent="0.25">
      <c r="A12" s="11" t="s">
        <v>23</v>
      </c>
      <c r="B12" s="7">
        <v>60</v>
      </c>
      <c r="C12" s="7">
        <v>1</v>
      </c>
      <c r="D12" s="7">
        <f t="shared" ref="D12:D24" si="0">+B12*C12</f>
        <v>60</v>
      </c>
      <c r="E12" s="42">
        <f>E9</f>
        <v>2.3333333333333335</v>
      </c>
      <c r="F12" s="7">
        <f t="shared" ref="F12:F18" si="1">+D12*E12</f>
        <v>140</v>
      </c>
      <c r="G12" s="7">
        <f t="shared" ref="G12:G18" si="2">+F12*0.05</f>
        <v>7</v>
      </c>
      <c r="H12" s="7">
        <f t="shared" ref="H12:H18" si="3">+F12*0.1</f>
        <v>14</v>
      </c>
      <c r="I12" s="10">
        <f t="shared" ref="I12:I18" si="4">+$F$2*F12+$G$2*G12+$H$2*H12</f>
        <v>15935.359999999999</v>
      </c>
    </row>
    <row r="13" spans="1:9" ht="15.75" x14ac:dyDescent="0.25">
      <c r="A13" s="11" t="s">
        <v>24</v>
      </c>
      <c r="B13" s="7">
        <v>60</v>
      </c>
      <c r="C13" s="7">
        <v>1</v>
      </c>
      <c r="D13" s="7">
        <f t="shared" si="0"/>
        <v>60</v>
      </c>
      <c r="E13" s="42">
        <f>E12*0.2</f>
        <v>0.46666666666666673</v>
      </c>
      <c r="F13" s="7">
        <f t="shared" si="1"/>
        <v>28.000000000000004</v>
      </c>
      <c r="G13" s="7">
        <f t="shared" si="2"/>
        <v>1.4000000000000004</v>
      </c>
      <c r="H13" s="7">
        <f t="shared" si="3"/>
        <v>2.8000000000000007</v>
      </c>
      <c r="I13" s="10">
        <f t="shared" si="4"/>
        <v>3187.0720000000006</v>
      </c>
    </row>
    <row r="14" spans="1:9" x14ac:dyDescent="0.25">
      <c r="A14" s="9" t="s">
        <v>25</v>
      </c>
      <c r="B14" s="7"/>
      <c r="C14" s="7"/>
      <c r="D14" s="7"/>
      <c r="E14" s="7"/>
      <c r="F14" s="7"/>
      <c r="G14" s="7"/>
      <c r="H14" s="7"/>
      <c r="I14" s="8"/>
    </row>
    <row r="15" spans="1:9" ht="25.5" x14ac:dyDescent="0.25">
      <c r="A15" s="11" t="s">
        <v>26</v>
      </c>
      <c r="B15" s="7">
        <v>2</v>
      </c>
      <c r="C15" s="7">
        <v>1</v>
      </c>
      <c r="D15" s="7">
        <f t="shared" si="0"/>
        <v>2</v>
      </c>
      <c r="E15" s="42">
        <f>E9</f>
        <v>2.3333333333333335</v>
      </c>
      <c r="F15" s="42">
        <f t="shared" si="1"/>
        <v>4.666666666666667</v>
      </c>
      <c r="G15" s="42">
        <f t="shared" si="2"/>
        <v>0.23333333333333336</v>
      </c>
      <c r="H15" s="42">
        <f t="shared" si="3"/>
        <v>0.46666666666666673</v>
      </c>
      <c r="I15" s="10">
        <f t="shared" si="4"/>
        <v>531.17866666666669</v>
      </c>
    </row>
    <row r="16" spans="1:9" x14ac:dyDescent="0.25">
      <c r="A16" s="11" t="s">
        <v>27</v>
      </c>
      <c r="B16" s="7">
        <v>1</v>
      </c>
      <c r="C16" s="7">
        <v>1</v>
      </c>
      <c r="D16" s="7">
        <f t="shared" si="0"/>
        <v>1</v>
      </c>
      <c r="E16" s="42">
        <f>E9</f>
        <v>2.3333333333333335</v>
      </c>
      <c r="F16" s="42">
        <f t="shared" si="1"/>
        <v>2.3333333333333335</v>
      </c>
      <c r="G16" s="42">
        <f t="shared" si="2"/>
        <v>0.11666666666666668</v>
      </c>
      <c r="H16" s="42">
        <f t="shared" si="3"/>
        <v>0.23333333333333336</v>
      </c>
      <c r="I16" s="10">
        <f t="shared" si="4"/>
        <v>265.58933333333334</v>
      </c>
    </row>
    <row r="17" spans="1:9" ht="25.5" x14ac:dyDescent="0.25">
      <c r="A17" s="11" t="s">
        <v>28</v>
      </c>
      <c r="B17" s="7">
        <v>2</v>
      </c>
      <c r="C17" s="7">
        <v>1</v>
      </c>
      <c r="D17" s="7">
        <f t="shared" si="0"/>
        <v>2</v>
      </c>
      <c r="E17" s="42">
        <f>SUM(E12:E13)</f>
        <v>2.8000000000000003</v>
      </c>
      <c r="F17" s="7">
        <f t="shared" si="1"/>
        <v>5.6000000000000005</v>
      </c>
      <c r="G17" s="12">
        <f t="shared" si="2"/>
        <v>0.28000000000000003</v>
      </c>
      <c r="H17" s="12">
        <f t="shared" si="3"/>
        <v>0.56000000000000005</v>
      </c>
      <c r="I17" s="10">
        <f t="shared" si="4"/>
        <v>637.41440000000011</v>
      </c>
    </row>
    <row r="18" spans="1:9" x14ac:dyDescent="0.25">
      <c r="A18" s="11" t="s">
        <v>29</v>
      </c>
      <c r="B18" s="7">
        <v>3</v>
      </c>
      <c r="C18" s="7">
        <v>2</v>
      </c>
      <c r="D18" s="7">
        <f t="shared" si="0"/>
        <v>6</v>
      </c>
      <c r="E18" s="7">
        <f>SUM(E9:E10)</f>
        <v>7</v>
      </c>
      <c r="F18" s="7">
        <f t="shared" si="1"/>
        <v>42</v>
      </c>
      <c r="G18" s="13">
        <f t="shared" si="2"/>
        <v>2.1</v>
      </c>
      <c r="H18" s="13">
        <f t="shared" si="3"/>
        <v>4.2</v>
      </c>
      <c r="I18" s="10">
        <f t="shared" si="4"/>
        <v>4780.6080000000002</v>
      </c>
    </row>
    <row r="19" spans="1:9" ht="27" x14ac:dyDescent="0.25">
      <c r="A19" s="14" t="s">
        <v>30</v>
      </c>
      <c r="B19" s="5"/>
      <c r="C19" s="5"/>
      <c r="D19" s="7"/>
      <c r="E19" s="5"/>
      <c r="F19" s="95">
        <f>SUM(F5:H18)</f>
        <v>264.04000000000002</v>
      </c>
      <c r="G19" s="95"/>
      <c r="H19" s="95"/>
      <c r="I19" s="15">
        <f>SUM(I5:I18)</f>
        <v>26133.990399999999</v>
      </c>
    </row>
    <row r="20" spans="1:9" x14ac:dyDescent="0.25">
      <c r="A20" s="6" t="s">
        <v>31</v>
      </c>
      <c r="B20" s="7"/>
      <c r="C20" s="7"/>
      <c r="D20" s="7"/>
      <c r="E20" s="7"/>
      <c r="F20" s="7"/>
      <c r="G20" s="7"/>
      <c r="H20" s="7"/>
      <c r="I20" s="8"/>
    </row>
    <row r="21" spans="1:9" ht="25.5" x14ac:dyDescent="0.25">
      <c r="A21" s="11" t="s">
        <v>32</v>
      </c>
      <c r="B21" s="7">
        <v>1</v>
      </c>
      <c r="C21" s="7">
        <v>12</v>
      </c>
      <c r="D21" s="7">
        <f t="shared" si="0"/>
        <v>12</v>
      </c>
      <c r="E21" s="42">
        <f>E9</f>
        <v>2.3333333333333335</v>
      </c>
      <c r="F21" s="7">
        <f t="shared" ref="F21:F24" si="5">+D21*E21</f>
        <v>28</v>
      </c>
      <c r="G21" s="7">
        <f t="shared" ref="G21:G24" si="6">+F21*0.05</f>
        <v>1.4000000000000001</v>
      </c>
      <c r="H21" s="7">
        <f t="shared" ref="H21:H24" si="7">+F21*0.1</f>
        <v>2.8000000000000003</v>
      </c>
      <c r="I21" s="10">
        <f t="shared" ref="I21:I24" si="8">+$F$2*F21+$G$2*G21+$H$2*H21</f>
        <v>3187.0720000000001</v>
      </c>
    </row>
    <row r="22" spans="1:9" ht="25.5" x14ac:dyDescent="0.25">
      <c r="A22" s="11" t="s">
        <v>33</v>
      </c>
      <c r="B22" s="7">
        <v>1</v>
      </c>
      <c r="C22" s="7">
        <v>8</v>
      </c>
      <c r="D22" s="7">
        <f t="shared" si="0"/>
        <v>8</v>
      </c>
      <c r="E22" s="7">
        <f>E18</f>
        <v>7</v>
      </c>
      <c r="F22" s="7">
        <f t="shared" si="5"/>
        <v>56</v>
      </c>
      <c r="G22" s="13">
        <f t="shared" si="6"/>
        <v>2.8000000000000003</v>
      </c>
      <c r="H22" s="13">
        <f t="shared" si="7"/>
        <v>5.6000000000000005</v>
      </c>
      <c r="I22" s="10">
        <f t="shared" si="8"/>
        <v>6374.1440000000002</v>
      </c>
    </row>
    <row r="23" spans="1:9" ht="28.5" x14ac:dyDescent="0.25">
      <c r="A23" s="11" t="s">
        <v>86</v>
      </c>
      <c r="B23" s="7">
        <v>1</v>
      </c>
      <c r="C23" s="7">
        <v>1</v>
      </c>
      <c r="D23" s="7">
        <f t="shared" si="0"/>
        <v>1</v>
      </c>
      <c r="E23" s="13">
        <v>0</v>
      </c>
      <c r="F23" s="13">
        <f t="shared" si="5"/>
        <v>0</v>
      </c>
      <c r="G23" s="13">
        <f t="shared" si="6"/>
        <v>0</v>
      </c>
      <c r="H23" s="13">
        <f t="shared" si="7"/>
        <v>0</v>
      </c>
      <c r="I23" s="10">
        <f t="shared" si="8"/>
        <v>0</v>
      </c>
    </row>
    <row r="24" spans="1:9" ht="15.75" x14ac:dyDescent="0.25">
      <c r="A24" s="11" t="s">
        <v>87</v>
      </c>
      <c r="B24" s="7">
        <v>1</v>
      </c>
      <c r="C24" s="7">
        <v>1</v>
      </c>
      <c r="D24" s="7">
        <f t="shared" si="0"/>
        <v>1</v>
      </c>
      <c r="E24" s="13">
        <v>0</v>
      </c>
      <c r="F24" s="13">
        <f t="shared" si="5"/>
        <v>0</v>
      </c>
      <c r="G24" s="13">
        <f t="shared" si="6"/>
        <v>0</v>
      </c>
      <c r="H24" s="13">
        <f t="shared" si="7"/>
        <v>0</v>
      </c>
      <c r="I24" s="10">
        <f t="shared" si="8"/>
        <v>0</v>
      </c>
    </row>
    <row r="25" spans="1:9" ht="27" x14ac:dyDescent="0.25">
      <c r="A25" s="14" t="s">
        <v>34</v>
      </c>
      <c r="B25" s="5"/>
      <c r="C25" s="5"/>
      <c r="D25" s="16"/>
      <c r="E25" s="5"/>
      <c r="F25" s="95">
        <f>SUM(F20:H24)</f>
        <v>96.59999999999998</v>
      </c>
      <c r="G25" s="95"/>
      <c r="H25" s="95"/>
      <c r="I25" s="15">
        <f>SUM(I20:I22)</f>
        <v>9561.2160000000003</v>
      </c>
    </row>
    <row r="26" spans="1:9" ht="28.5" x14ac:dyDescent="0.25">
      <c r="A26" s="16" t="s">
        <v>90</v>
      </c>
      <c r="B26" s="16"/>
      <c r="C26" s="16"/>
      <c r="D26" s="16"/>
      <c r="E26" s="16"/>
      <c r="F26" s="96">
        <f>ROUND(F19+F25,0)</f>
        <v>361</v>
      </c>
      <c r="G26" s="96"/>
      <c r="H26" s="96"/>
      <c r="I26" s="15">
        <f>+ROUND(I19+I25,-2)</f>
        <v>35700</v>
      </c>
    </row>
    <row r="27" spans="1:9" ht="28.5" x14ac:dyDescent="0.25">
      <c r="A27" s="16" t="s">
        <v>91</v>
      </c>
      <c r="B27" s="16"/>
      <c r="C27" s="16"/>
      <c r="D27" s="16"/>
      <c r="E27" s="16"/>
      <c r="F27" s="17"/>
      <c r="G27" s="17"/>
      <c r="H27" s="17"/>
      <c r="I27" s="15">
        <f>ROUND('Capital O&amp;M'!$D$14+('Capital O&amp;M'!$G$14),-4)</f>
        <v>5140000</v>
      </c>
    </row>
    <row r="28" spans="1:9" ht="15.75" x14ac:dyDescent="0.25">
      <c r="A28" s="16" t="s">
        <v>92</v>
      </c>
      <c r="B28" s="16"/>
      <c r="C28" s="16"/>
      <c r="D28" s="16"/>
      <c r="E28" s="16"/>
      <c r="F28" s="17"/>
      <c r="G28" s="17"/>
      <c r="H28" s="17"/>
      <c r="I28" s="15">
        <f>ROUND(I26+I27,-4)</f>
        <v>5180000</v>
      </c>
    </row>
    <row r="30" spans="1:9" x14ac:dyDescent="0.25">
      <c r="A30" s="18" t="s">
        <v>35</v>
      </c>
    </row>
    <row r="31" spans="1:9" ht="32.25" customHeight="1" x14ac:dyDescent="0.25">
      <c r="A31" s="92" t="s">
        <v>96</v>
      </c>
      <c r="B31" s="92"/>
      <c r="C31" s="92"/>
      <c r="D31" s="92"/>
      <c r="E31" s="92"/>
      <c r="F31" s="92"/>
      <c r="G31" s="92"/>
      <c r="H31" s="92"/>
      <c r="I31" s="92"/>
    </row>
    <row r="32" spans="1:9" ht="87" customHeight="1" x14ac:dyDescent="0.25">
      <c r="A32" s="92" t="s">
        <v>54</v>
      </c>
      <c r="B32" s="92"/>
      <c r="C32" s="92"/>
      <c r="D32" s="92"/>
      <c r="E32" s="92"/>
      <c r="F32" s="92"/>
      <c r="G32" s="92"/>
      <c r="H32" s="92"/>
      <c r="I32" s="92"/>
    </row>
    <row r="33" spans="1:9" x14ac:dyDescent="0.25">
      <c r="A33" s="91" t="s">
        <v>36</v>
      </c>
      <c r="B33" s="91"/>
      <c r="C33" s="91"/>
      <c r="D33" s="91"/>
      <c r="E33" s="91"/>
      <c r="F33" s="91"/>
      <c r="G33" s="91"/>
      <c r="H33" s="91"/>
      <c r="I33" s="91"/>
    </row>
    <row r="34" spans="1:9" ht="15.75" x14ac:dyDescent="0.25">
      <c r="A34" s="92" t="s">
        <v>37</v>
      </c>
      <c r="B34" s="92"/>
      <c r="C34" s="92"/>
      <c r="D34" s="92"/>
      <c r="E34" s="92"/>
      <c r="F34" s="92"/>
      <c r="G34" s="92"/>
      <c r="H34" s="92"/>
      <c r="I34" s="92"/>
    </row>
    <row r="35" spans="1:9" ht="15" customHeight="1" x14ac:dyDescent="0.25">
      <c r="A35" s="20" t="s">
        <v>88</v>
      </c>
    </row>
    <row r="36" spans="1:9" x14ac:dyDescent="0.25">
      <c r="A36" s="91" t="s">
        <v>89</v>
      </c>
      <c r="B36" s="91"/>
      <c r="C36" s="91"/>
      <c r="D36" s="91"/>
      <c r="E36" s="91"/>
      <c r="F36" s="91"/>
      <c r="G36" s="91"/>
      <c r="H36" s="91"/>
      <c r="I36" s="91"/>
    </row>
  </sheetData>
  <sheetProtection algorithmName="SHA-512" hashValue="xJM0Uq3inb18yrHqMxLA3jxT8TAoGbiVB8E4KhjqP/RI8F7irnLj7+UVCraEWx/9NjNF15MG/if75LMEsD1kOg==" saltValue="82KZKMVjioyu6a+NcXeuKw==" spinCount="100000" sheet="1" objects="1" scenarios="1"/>
  <mergeCells count="9">
    <mergeCell ref="A33:I33"/>
    <mergeCell ref="A34:I34"/>
    <mergeCell ref="A36:I36"/>
    <mergeCell ref="A3:A4"/>
    <mergeCell ref="F19:H19"/>
    <mergeCell ref="F25:H25"/>
    <mergeCell ref="F26:H26"/>
    <mergeCell ref="A31:I31"/>
    <mergeCell ref="A32:I32"/>
  </mergeCells>
  <pageMargins left="0.7" right="0.7" top="0.75" bottom="0.75" header="0.3" footer="0.3"/>
  <pageSetup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3C31D2-8EA9-417A-AC0E-9215685FB37B}">
  <dimension ref="A1:E12"/>
  <sheetViews>
    <sheetView workbookViewId="0">
      <selection activeCell="A2" sqref="A2"/>
    </sheetView>
  </sheetViews>
  <sheetFormatPr defaultRowHeight="15" x14ac:dyDescent="0.25"/>
  <cols>
    <col min="1" max="1" width="18.85546875" customWidth="1"/>
    <col min="2" max="2" width="21.85546875" customWidth="1"/>
    <col min="3" max="3" width="26" customWidth="1"/>
    <col min="4" max="4" width="22.42578125" customWidth="1"/>
    <col min="5" max="5" width="22.28515625" customWidth="1"/>
    <col min="6" max="6" width="15.85546875" customWidth="1"/>
    <col min="7" max="7" width="29.7109375" customWidth="1"/>
    <col min="8" max="8" width="20.5703125" customWidth="1"/>
  </cols>
  <sheetData>
    <row r="1" spans="1:5" ht="15.75" x14ac:dyDescent="0.25">
      <c r="A1" s="43" t="s">
        <v>104</v>
      </c>
    </row>
    <row r="2" spans="1:5" ht="15.75" x14ac:dyDescent="0.25">
      <c r="A2" s="44"/>
    </row>
    <row r="3" spans="1:5" ht="39" x14ac:dyDescent="0.25">
      <c r="A3" s="45" t="s">
        <v>74</v>
      </c>
      <c r="B3" s="47" t="s">
        <v>82</v>
      </c>
      <c r="C3" s="47" t="s">
        <v>83</v>
      </c>
      <c r="D3" s="48" t="s">
        <v>84</v>
      </c>
      <c r="E3" s="47" t="s">
        <v>85</v>
      </c>
    </row>
    <row r="4" spans="1:5" x14ac:dyDescent="0.25">
      <c r="A4" s="46">
        <v>1</v>
      </c>
      <c r="B4" s="49">
        <f>'Table 1'!F19+'Table 1'!F25</f>
        <v>280.14</v>
      </c>
      <c r="C4" s="50">
        <f>'Table 1'!I26</f>
        <v>27700</v>
      </c>
      <c r="D4" s="50">
        <f>'Table 1'!I27</f>
        <v>3710000</v>
      </c>
      <c r="E4" s="50">
        <f>SUM(C4:D4)</f>
        <v>3737700</v>
      </c>
    </row>
    <row r="5" spans="1:5" x14ac:dyDescent="0.25">
      <c r="A5" s="46">
        <v>2</v>
      </c>
      <c r="B5" s="49">
        <f>'Table 2'!F19+'Table 2'!F25</f>
        <v>320.39</v>
      </c>
      <c r="C5" s="50">
        <f>'Table 2'!I26</f>
        <v>31700</v>
      </c>
      <c r="D5" s="50">
        <f>'Table 2'!I27</f>
        <v>4430000</v>
      </c>
      <c r="E5" s="50">
        <f t="shared" ref="E5" si="0">SUM(C5:D5)</f>
        <v>4461700</v>
      </c>
    </row>
    <row r="6" spans="1:5" x14ac:dyDescent="0.25">
      <c r="A6" s="46">
        <v>3</v>
      </c>
      <c r="B6" s="49">
        <f>'Table 3'!F19+'Table 3'!F25</f>
        <v>360.64</v>
      </c>
      <c r="C6" s="50">
        <f>'Table 3'!I26</f>
        <v>35700</v>
      </c>
      <c r="D6" s="50">
        <f>'Table 3'!I27</f>
        <v>5140000</v>
      </c>
      <c r="E6" s="50">
        <f>SUM(C6:D6)</f>
        <v>5175700</v>
      </c>
    </row>
    <row r="7" spans="1:5" x14ac:dyDescent="0.25">
      <c r="A7" s="45" t="s">
        <v>109</v>
      </c>
      <c r="B7" s="69">
        <f>SUM(B4:B6)</f>
        <v>961.17</v>
      </c>
      <c r="C7" s="70">
        <f>SUM(C4:C6)</f>
        <v>95100</v>
      </c>
      <c r="D7" s="70">
        <f>ROUND(SUM(D4:D6),-5)</f>
        <v>13300000</v>
      </c>
      <c r="E7" s="52">
        <f>ROUND(SUM(E4:E6),-5)</f>
        <v>13400000</v>
      </c>
    </row>
    <row r="8" spans="1:5" x14ac:dyDescent="0.25">
      <c r="A8" s="45" t="s">
        <v>110</v>
      </c>
      <c r="B8" s="51">
        <f>AVERAGE(B4:B6)</f>
        <v>320.39</v>
      </c>
      <c r="C8" s="52">
        <f>AVERAGE(C4:C6)</f>
        <v>31700</v>
      </c>
      <c r="D8" s="52">
        <f>ROUND(AVERAGE(D4:D6),-4)</f>
        <v>4430000</v>
      </c>
      <c r="E8" s="52">
        <f>ROUND(AVERAGE(E4:E6),-4)</f>
        <v>4460000</v>
      </c>
    </row>
    <row r="10" spans="1:5" x14ac:dyDescent="0.25">
      <c r="D10" s="56"/>
      <c r="E10" s="56"/>
    </row>
    <row r="12" spans="1:5" x14ac:dyDescent="0.25">
      <c r="D12" s="56"/>
      <c r="E12" s="56"/>
    </row>
  </sheetData>
  <sheetProtection algorithmName="SHA-512" hashValue="NrJsZYtOJWy4zKCcol9YLR4IigJ3kn60X4qBvS2uGJF4XxIxdSHBHeRyPoBYnhwhWehqpT2SPAB6cgmF/YaJnQ==" saltValue="bJsJ1x+vCJrqxuuWLmZqEQ==" spinCount="10000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1E70A-2FA9-4BA0-BD8F-4555C7318829}">
  <dimension ref="A1:J33"/>
  <sheetViews>
    <sheetView workbookViewId="0">
      <selection activeCell="A2" sqref="A2"/>
    </sheetView>
  </sheetViews>
  <sheetFormatPr defaultRowHeight="15" x14ac:dyDescent="0.25"/>
  <cols>
    <col min="1" max="1" width="43.85546875" customWidth="1"/>
    <col min="2" max="2" width="10" customWidth="1"/>
    <col min="3" max="3" width="11" customWidth="1"/>
    <col min="4" max="4" width="9.7109375" customWidth="1"/>
    <col min="5" max="5" width="11" customWidth="1"/>
    <col min="7" max="7" width="10.7109375" customWidth="1"/>
    <col min="12" max="12" width="31" customWidth="1"/>
    <col min="15" max="15" width="23.42578125" customWidth="1"/>
    <col min="16" max="16" width="21.5703125" customWidth="1"/>
  </cols>
  <sheetData>
    <row r="1" spans="1:10" ht="15.75" x14ac:dyDescent="0.25">
      <c r="A1" s="19" t="s">
        <v>105</v>
      </c>
    </row>
    <row r="2" spans="1:10" s="20" customFormat="1" ht="12.75" x14ac:dyDescent="0.2">
      <c r="F2" s="2">
        <v>51.23</v>
      </c>
      <c r="G2" s="2">
        <v>69.040000000000006</v>
      </c>
      <c r="H2" s="2">
        <v>27.73</v>
      </c>
      <c r="I2" s="2"/>
    </row>
    <row r="3" spans="1:10" s="20" customFormat="1" ht="12.75" x14ac:dyDescent="0.2">
      <c r="A3" s="97" t="s">
        <v>0</v>
      </c>
      <c r="B3" s="3" t="s">
        <v>1</v>
      </c>
      <c r="C3" s="3" t="s">
        <v>2</v>
      </c>
      <c r="D3" s="3" t="s">
        <v>3</v>
      </c>
      <c r="E3" s="3" t="s">
        <v>4</v>
      </c>
      <c r="F3" s="4" t="s">
        <v>5</v>
      </c>
      <c r="G3" s="3" t="s">
        <v>6</v>
      </c>
      <c r="H3" s="3" t="s">
        <v>7</v>
      </c>
      <c r="I3" s="3" t="s">
        <v>8</v>
      </c>
    </row>
    <row r="4" spans="1:10" s="20" customFormat="1" ht="63.75" x14ac:dyDescent="0.2">
      <c r="A4" s="97"/>
      <c r="B4" s="5" t="s">
        <v>9</v>
      </c>
      <c r="C4" s="5" t="s">
        <v>10</v>
      </c>
      <c r="D4" s="5" t="s">
        <v>11</v>
      </c>
      <c r="E4" s="5" t="s">
        <v>12</v>
      </c>
      <c r="F4" s="5" t="s">
        <v>13</v>
      </c>
      <c r="G4" s="5" t="s">
        <v>14</v>
      </c>
      <c r="H4" s="5" t="s">
        <v>15</v>
      </c>
      <c r="I4" s="5" t="s">
        <v>16</v>
      </c>
    </row>
    <row r="5" spans="1:10" s="20" customFormat="1" ht="12.75" x14ac:dyDescent="0.2">
      <c r="A5" s="6" t="s">
        <v>38</v>
      </c>
      <c r="B5" s="7"/>
      <c r="C5" s="7"/>
      <c r="D5" s="7"/>
      <c r="E5" s="7"/>
      <c r="F5" s="7"/>
      <c r="G5" s="7"/>
      <c r="H5" s="7"/>
      <c r="I5" s="6" t="s">
        <v>39</v>
      </c>
    </row>
    <row r="6" spans="1:10" s="20" customFormat="1" ht="12.75" x14ac:dyDescent="0.2">
      <c r="A6" s="9" t="s">
        <v>40</v>
      </c>
      <c r="B6" s="7">
        <v>2</v>
      </c>
      <c r="C6" s="7">
        <v>1</v>
      </c>
      <c r="D6" s="7">
        <f>B6*C6</f>
        <v>2</v>
      </c>
      <c r="E6" s="12">
        <f>'Table 1'!E15</f>
        <v>2.3333333333333335</v>
      </c>
      <c r="F6" s="42">
        <f>D6*E6</f>
        <v>4.666666666666667</v>
      </c>
      <c r="G6" s="42">
        <f>F6*0.05</f>
        <v>0.23333333333333336</v>
      </c>
      <c r="H6" s="42">
        <f>F6*0.1</f>
        <v>0.46666666666666673</v>
      </c>
      <c r="I6" s="10">
        <f>$F$2*F6+$G$2*G6+$H$2*H6</f>
        <v>268.12333333333333</v>
      </c>
    </row>
    <row r="7" spans="1:10" s="20" customFormat="1" ht="12.75" x14ac:dyDescent="0.2">
      <c r="A7" s="9" t="s">
        <v>27</v>
      </c>
      <c r="B7" s="7">
        <v>2</v>
      </c>
      <c r="C7" s="7">
        <v>1</v>
      </c>
      <c r="D7" s="7">
        <f t="shared" ref="D7:D11" si="0">B7*C7</f>
        <v>2</v>
      </c>
      <c r="E7" s="12">
        <f>'Table 1'!E16</f>
        <v>2.3333333333333335</v>
      </c>
      <c r="F7" s="42">
        <f t="shared" ref="F7:F11" si="1">D7*E7</f>
        <v>4.666666666666667</v>
      </c>
      <c r="G7" s="42">
        <f t="shared" ref="G7:G11" si="2">F7*0.05</f>
        <v>0.23333333333333336</v>
      </c>
      <c r="H7" s="42">
        <f t="shared" ref="H7:H11" si="3">F7*0.1</f>
        <v>0.46666666666666673</v>
      </c>
      <c r="I7" s="10">
        <f t="shared" ref="I7:I11" si="4">$F$2*F7+$G$2*G7+$H$2*H7</f>
        <v>268.12333333333333</v>
      </c>
    </row>
    <row r="8" spans="1:10" s="20" customFormat="1" ht="12.75" x14ac:dyDescent="0.2">
      <c r="A8" s="9" t="s">
        <v>28</v>
      </c>
      <c r="B8" s="7">
        <v>2</v>
      </c>
      <c r="C8" s="7">
        <v>1</v>
      </c>
      <c r="D8" s="7">
        <f t="shared" si="0"/>
        <v>2</v>
      </c>
      <c r="E8" s="12">
        <f>'Table 1'!E17</f>
        <v>2.8000000000000003</v>
      </c>
      <c r="F8" s="42">
        <f t="shared" si="1"/>
        <v>5.6000000000000005</v>
      </c>
      <c r="G8" s="42">
        <f t="shared" si="2"/>
        <v>0.28000000000000003</v>
      </c>
      <c r="H8" s="42">
        <f t="shared" si="3"/>
        <v>0.56000000000000005</v>
      </c>
      <c r="I8" s="10">
        <f t="shared" si="4"/>
        <v>321.74800000000005</v>
      </c>
    </row>
    <row r="9" spans="1:10" s="20" customFormat="1" ht="12.75" x14ac:dyDescent="0.2">
      <c r="A9" s="9" t="s">
        <v>41</v>
      </c>
      <c r="B9" s="7">
        <v>8</v>
      </c>
      <c r="C9" s="7">
        <v>1</v>
      </c>
      <c r="D9" s="7">
        <f t="shared" si="0"/>
        <v>8</v>
      </c>
      <c r="E9" s="12">
        <f>'Table 1'!E12</f>
        <v>2.3333333333333335</v>
      </c>
      <c r="F9" s="12">
        <f t="shared" si="1"/>
        <v>18.666666666666668</v>
      </c>
      <c r="G9" s="42">
        <f t="shared" si="2"/>
        <v>0.93333333333333346</v>
      </c>
      <c r="H9" s="42">
        <f t="shared" si="3"/>
        <v>1.8666666666666669</v>
      </c>
      <c r="I9" s="10">
        <f t="shared" si="4"/>
        <v>1072.4933333333333</v>
      </c>
    </row>
    <row r="10" spans="1:10" s="20" customFormat="1" ht="15.75" x14ac:dyDescent="0.2">
      <c r="A10" s="9" t="s">
        <v>42</v>
      </c>
      <c r="B10" s="7">
        <v>8</v>
      </c>
      <c r="C10" s="7">
        <v>1</v>
      </c>
      <c r="D10" s="7">
        <f t="shared" si="0"/>
        <v>8</v>
      </c>
      <c r="E10" s="12">
        <f>E9*0.2</f>
        <v>0.46666666666666673</v>
      </c>
      <c r="F10" s="42">
        <f t="shared" si="1"/>
        <v>3.7333333333333338</v>
      </c>
      <c r="G10" s="42">
        <f t="shared" si="2"/>
        <v>0.1866666666666667</v>
      </c>
      <c r="H10" s="42">
        <f t="shared" si="3"/>
        <v>0.37333333333333341</v>
      </c>
      <c r="I10" s="10">
        <f t="shared" si="4"/>
        <v>214.49866666666668</v>
      </c>
    </row>
    <row r="11" spans="1:10" s="20" customFormat="1" ht="12.75" x14ac:dyDescent="0.2">
      <c r="A11" s="9" t="s">
        <v>29</v>
      </c>
      <c r="B11" s="7">
        <v>2</v>
      </c>
      <c r="C11" s="7">
        <v>2</v>
      </c>
      <c r="D11" s="7">
        <f t="shared" si="0"/>
        <v>4</v>
      </c>
      <c r="E11" s="12">
        <f>'Table 1'!E18</f>
        <v>2.3333333333333335</v>
      </c>
      <c r="F11" s="42">
        <f t="shared" si="1"/>
        <v>9.3333333333333339</v>
      </c>
      <c r="G11" s="42">
        <f t="shared" si="2"/>
        <v>0.46666666666666673</v>
      </c>
      <c r="H11" s="42">
        <f t="shared" si="3"/>
        <v>0.93333333333333346</v>
      </c>
      <c r="I11" s="10">
        <f t="shared" si="4"/>
        <v>536.24666666666667</v>
      </c>
    </row>
    <row r="12" spans="1:10" s="20" customFormat="1" ht="15.75" x14ac:dyDescent="0.2">
      <c r="A12" s="16" t="s">
        <v>43</v>
      </c>
      <c r="B12" s="16"/>
      <c r="C12" s="16"/>
      <c r="D12" s="16"/>
      <c r="E12" s="16"/>
      <c r="F12" s="97">
        <f>ROUND(SUM(F5:H11),0)</f>
        <v>54</v>
      </c>
      <c r="G12" s="97"/>
      <c r="H12" s="97"/>
      <c r="I12" s="15">
        <f>ROUND(SUM(I5:I11),-1)</f>
        <v>2680</v>
      </c>
    </row>
    <row r="13" spans="1:10" s="20" customFormat="1" ht="12.75" x14ac:dyDescent="0.2">
      <c r="J13" s="21"/>
    </row>
    <row r="14" spans="1:10" s="20" customFormat="1" ht="12.75" x14ac:dyDescent="0.2">
      <c r="A14" s="18" t="s">
        <v>35</v>
      </c>
    </row>
    <row r="15" spans="1:10" s="20" customFormat="1" ht="36" customHeight="1" x14ac:dyDescent="0.2">
      <c r="A15" s="92" t="s">
        <v>96</v>
      </c>
      <c r="B15" s="92"/>
      <c r="C15" s="92"/>
      <c r="D15" s="92"/>
      <c r="E15" s="92"/>
      <c r="F15" s="92"/>
      <c r="G15" s="92"/>
      <c r="H15" s="92"/>
      <c r="I15" s="92"/>
    </row>
    <row r="16" spans="1:10" s="20" customFormat="1" ht="49.5" customHeight="1" x14ac:dyDescent="0.2">
      <c r="A16" s="91" t="s">
        <v>97</v>
      </c>
      <c r="B16" s="91"/>
      <c r="C16" s="91"/>
      <c r="D16" s="91"/>
      <c r="E16" s="91"/>
      <c r="F16" s="91"/>
      <c r="G16" s="91"/>
      <c r="H16" s="91"/>
      <c r="I16" s="91"/>
    </row>
    <row r="17" spans="1:9" s="20" customFormat="1" ht="17.25" customHeight="1" x14ac:dyDescent="0.2">
      <c r="A17" s="98" t="s">
        <v>44</v>
      </c>
      <c r="B17" s="98"/>
      <c r="C17" s="98"/>
      <c r="D17" s="98"/>
      <c r="E17" s="98"/>
      <c r="F17" s="98"/>
      <c r="G17" s="98"/>
      <c r="H17" s="98"/>
      <c r="I17" s="98"/>
    </row>
    <row r="18" spans="1:9" s="20" customFormat="1" ht="15.75" x14ac:dyDescent="0.2">
      <c r="A18" s="99" t="s">
        <v>45</v>
      </c>
      <c r="B18" s="99"/>
      <c r="C18" s="99"/>
      <c r="D18" s="99"/>
      <c r="E18" s="99"/>
      <c r="F18" s="99"/>
      <c r="G18" s="99"/>
      <c r="H18" s="99"/>
      <c r="I18" s="99"/>
    </row>
    <row r="19" spans="1:9" s="20" customFormat="1" ht="12.75" x14ac:dyDescent="0.2"/>
    <row r="20" spans="1:9" s="20" customFormat="1" ht="12.75" x14ac:dyDescent="0.2"/>
    <row r="21" spans="1:9" s="20" customFormat="1" ht="12.75" x14ac:dyDescent="0.2"/>
    <row r="22" spans="1:9" s="20" customFormat="1" ht="12.75" x14ac:dyDescent="0.2"/>
    <row r="23" spans="1:9" s="20" customFormat="1" ht="12.75" x14ac:dyDescent="0.2"/>
    <row r="24" spans="1:9" s="20" customFormat="1" ht="12.75" x14ac:dyDescent="0.2"/>
    <row r="25" spans="1:9" s="20" customFormat="1" ht="12.75" x14ac:dyDescent="0.2"/>
    <row r="26" spans="1:9" s="20" customFormat="1" ht="12.75" x14ac:dyDescent="0.2"/>
    <row r="27" spans="1:9" s="20" customFormat="1" ht="12.75" x14ac:dyDescent="0.2"/>
    <row r="28" spans="1:9" s="20" customFormat="1" ht="12.75" x14ac:dyDescent="0.2"/>
    <row r="29" spans="1:9" s="20" customFormat="1" ht="12.75" x14ac:dyDescent="0.2"/>
    <row r="30" spans="1:9" s="20" customFormat="1" ht="12.75" x14ac:dyDescent="0.2"/>
    <row r="31" spans="1:9" s="20" customFormat="1" ht="12.75" x14ac:dyDescent="0.2"/>
    <row r="32" spans="1:9" s="20" customFormat="1" x14ac:dyDescent="0.25">
      <c r="A32"/>
      <c r="B32"/>
      <c r="C32"/>
      <c r="D32"/>
      <c r="E32"/>
      <c r="F32"/>
      <c r="G32"/>
      <c r="H32"/>
      <c r="I32"/>
    </row>
    <row r="33" spans="1:9" s="20" customFormat="1" x14ac:dyDescent="0.25">
      <c r="A33"/>
      <c r="B33"/>
      <c r="C33"/>
      <c r="D33"/>
      <c r="E33"/>
      <c r="F33"/>
      <c r="G33"/>
      <c r="H33"/>
      <c r="I33"/>
    </row>
  </sheetData>
  <sheetProtection algorithmName="SHA-512" hashValue="vqhv3CyqZYEihLcDrR+VJHZvq3uqKo3mJIzVH0dqI15+EOv578xHCr9gZXccKBNNZ2HeMYYoRELJ6BjlXPFJbQ==" saltValue="+sTtlFz4Q+SbDC1UDcpYgw==" spinCount="100000" sheet="1" objects="1" scenarios="1"/>
  <mergeCells count="6">
    <mergeCell ref="A3:A4"/>
    <mergeCell ref="A16:I16"/>
    <mergeCell ref="A17:I17"/>
    <mergeCell ref="A18:I18"/>
    <mergeCell ref="F12:H12"/>
    <mergeCell ref="A15:I15"/>
  </mergeCells>
  <pageMargins left="0.7" right="0.7" top="0.75" bottom="0.75" header="0.3" footer="0.3"/>
  <pageSetup orientation="portrait"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4B49D-E06F-4CC1-ACB3-C745EBCA953E}">
  <dimension ref="A1:J33"/>
  <sheetViews>
    <sheetView workbookViewId="0">
      <selection activeCell="A2" sqref="A2"/>
    </sheetView>
  </sheetViews>
  <sheetFormatPr defaultRowHeight="15" x14ac:dyDescent="0.25"/>
  <cols>
    <col min="1" max="1" width="43.85546875" customWidth="1"/>
    <col min="2" max="2" width="10" customWidth="1"/>
    <col min="3" max="3" width="11" customWidth="1"/>
    <col min="4" max="4" width="9.7109375" customWidth="1"/>
    <col min="5" max="5" width="11" customWidth="1"/>
    <col min="7" max="7" width="10.7109375" customWidth="1"/>
    <col min="12" max="12" width="31" customWidth="1"/>
    <col min="15" max="15" width="23.42578125" customWidth="1"/>
    <col min="16" max="16" width="21.5703125" customWidth="1"/>
  </cols>
  <sheetData>
    <row r="1" spans="1:10" ht="15.75" x14ac:dyDescent="0.25">
      <c r="A1" s="19" t="s">
        <v>106</v>
      </c>
    </row>
    <row r="2" spans="1:10" s="20" customFormat="1" ht="12.75" x14ac:dyDescent="0.2">
      <c r="F2" s="2">
        <v>51.23</v>
      </c>
      <c r="G2" s="2">
        <v>69.040000000000006</v>
      </c>
      <c r="H2" s="2">
        <v>27.73</v>
      </c>
      <c r="I2" s="2"/>
    </row>
    <row r="3" spans="1:10" s="20" customFormat="1" ht="12.75" x14ac:dyDescent="0.2">
      <c r="A3" s="97" t="s">
        <v>0</v>
      </c>
      <c r="B3" s="3" t="s">
        <v>1</v>
      </c>
      <c r="C3" s="3" t="s">
        <v>2</v>
      </c>
      <c r="D3" s="3" t="s">
        <v>3</v>
      </c>
      <c r="E3" s="3" t="s">
        <v>4</v>
      </c>
      <c r="F3" s="4" t="s">
        <v>5</v>
      </c>
      <c r="G3" s="3" t="s">
        <v>6</v>
      </c>
      <c r="H3" s="3" t="s">
        <v>7</v>
      </c>
      <c r="I3" s="3" t="s">
        <v>8</v>
      </c>
    </row>
    <row r="4" spans="1:10" s="20" customFormat="1" ht="63.75" x14ac:dyDescent="0.2">
      <c r="A4" s="97"/>
      <c r="B4" s="5" t="s">
        <v>9</v>
      </c>
      <c r="C4" s="5" t="s">
        <v>10</v>
      </c>
      <c r="D4" s="5" t="s">
        <v>11</v>
      </c>
      <c r="E4" s="5" t="s">
        <v>12</v>
      </c>
      <c r="F4" s="5" t="s">
        <v>13</v>
      </c>
      <c r="G4" s="5" t="s">
        <v>14</v>
      </c>
      <c r="H4" s="5" t="s">
        <v>15</v>
      </c>
      <c r="I4" s="5" t="s">
        <v>16</v>
      </c>
    </row>
    <row r="5" spans="1:10" s="20" customFormat="1" ht="12.75" x14ac:dyDescent="0.2">
      <c r="A5" s="6" t="s">
        <v>38</v>
      </c>
      <c r="B5" s="7"/>
      <c r="C5" s="7"/>
      <c r="D5" s="7"/>
      <c r="E5" s="7"/>
      <c r="F5" s="7"/>
      <c r="G5" s="7"/>
      <c r="H5" s="7"/>
      <c r="I5" s="6" t="s">
        <v>39</v>
      </c>
    </row>
    <row r="6" spans="1:10" s="20" customFormat="1" ht="12.75" x14ac:dyDescent="0.2">
      <c r="A6" s="9" t="s">
        <v>40</v>
      </c>
      <c r="B6" s="7">
        <v>2</v>
      </c>
      <c r="C6" s="7">
        <v>1</v>
      </c>
      <c r="D6" s="7">
        <f>B6*C6</f>
        <v>2</v>
      </c>
      <c r="E6" s="12">
        <f>'Table 2'!E15</f>
        <v>2.3333333333333335</v>
      </c>
      <c r="F6" s="42">
        <f>D6*E6</f>
        <v>4.666666666666667</v>
      </c>
      <c r="G6" s="42">
        <f>F6*0.05</f>
        <v>0.23333333333333336</v>
      </c>
      <c r="H6" s="42">
        <f>F6*0.1</f>
        <v>0.46666666666666673</v>
      </c>
      <c r="I6" s="10">
        <f>$F$2*F6+$G$2*G6+$H$2*H6</f>
        <v>268.12333333333333</v>
      </c>
    </row>
    <row r="7" spans="1:10" s="20" customFormat="1" ht="12.75" x14ac:dyDescent="0.2">
      <c r="A7" s="9" t="s">
        <v>27</v>
      </c>
      <c r="B7" s="7">
        <v>2</v>
      </c>
      <c r="C7" s="7">
        <v>1</v>
      </c>
      <c r="D7" s="7">
        <f t="shared" ref="D7:D11" si="0">B7*C7</f>
        <v>2</v>
      </c>
      <c r="E7" s="12">
        <f>'Table 2'!E16</f>
        <v>2.3333333333333335</v>
      </c>
      <c r="F7" s="42">
        <f t="shared" ref="F7:F11" si="1">D7*E7</f>
        <v>4.666666666666667</v>
      </c>
      <c r="G7" s="42">
        <f t="shared" ref="G7:G11" si="2">F7*0.05</f>
        <v>0.23333333333333336</v>
      </c>
      <c r="H7" s="42">
        <f t="shared" ref="H7:H11" si="3">F7*0.1</f>
        <v>0.46666666666666673</v>
      </c>
      <c r="I7" s="10">
        <f t="shared" ref="I7:I11" si="4">$F$2*F7+$G$2*G7+$H$2*H7</f>
        <v>268.12333333333333</v>
      </c>
    </row>
    <row r="8" spans="1:10" s="20" customFormat="1" ht="12.75" x14ac:dyDescent="0.2">
      <c r="A8" s="9" t="s">
        <v>28</v>
      </c>
      <c r="B8" s="7">
        <v>2</v>
      </c>
      <c r="C8" s="7">
        <v>1</v>
      </c>
      <c r="D8" s="7">
        <f t="shared" si="0"/>
        <v>2</v>
      </c>
      <c r="E8" s="12">
        <f>'Table 2'!E17</f>
        <v>2.8000000000000003</v>
      </c>
      <c r="F8" s="42">
        <f t="shared" si="1"/>
        <v>5.6000000000000005</v>
      </c>
      <c r="G8" s="42">
        <f t="shared" si="2"/>
        <v>0.28000000000000003</v>
      </c>
      <c r="H8" s="42">
        <f t="shared" si="3"/>
        <v>0.56000000000000005</v>
      </c>
      <c r="I8" s="10">
        <f t="shared" si="4"/>
        <v>321.74800000000005</v>
      </c>
    </row>
    <row r="9" spans="1:10" s="20" customFormat="1" ht="12.75" x14ac:dyDescent="0.2">
      <c r="A9" s="9" t="s">
        <v>41</v>
      </c>
      <c r="B9" s="7">
        <v>8</v>
      </c>
      <c r="C9" s="7">
        <v>1</v>
      </c>
      <c r="D9" s="7">
        <f t="shared" si="0"/>
        <v>8</v>
      </c>
      <c r="E9" s="12">
        <f>'Table 1'!E12</f>
        <v>2.3333333333333335</v>
      </c>
      <c r="F9" s="12">
        <f t="shared" si="1"/>
        <v>18.666666666666668</v>
      </c>
      <c r="G9" s="42">
        <f t="shared" si="2"/>
        <v>0.93333333333333346</v>
      </c>
      <c r="H9" s="42">
        <f t="shared" si="3"/>
        <v>1.8666666666666669</v>
      </c>
      <c r="I9" s="10">
        <f t="shared" si="4"/>
        <v>1072.4933333333333</v>
      </c>
    </row>
    <row r="10" spans="1:10" s="20" customFormat="1" ht="15.75" x14ac:dyDescent="0.2">
      <c r="A10" s="9" t="s">
        <v>42</v>
      </c>
      <c r="B10" s="7">
        <v>8</v>
      </c>
      <c r="C10" s="7">
        <v>1</v>
      </c>
      <c r="D10" s="7">
        <f t="shared" si="0"/>
        <v>8</v>
      </c>
      <c r="E10" s="12">
        <f>E9*0.2</f>
        <v>0.46666666666666673</v>
      </c>
      <c r="F10" s="42">
        <f t="shared" si="1"/>
        <v>3.7333333333333338</v>
      </c>
      <c r="G10" s="42">
        <f t="shared" si="2"/>
        <v>0.1866666666666667</v>
      </c>
      <c r="H10" s="42">
        <f t="shared" si="3"/>
        <v>0.37333333333333341</v>
      </c>
      <c r="I10" s="10">
        <f t="shared" si="4"/>
        <v>214.49866666666668</v>
      </c>
    </row>
    <row r="11" spans="1:10" s="20" customFormat="1" ht="12.75" x14ac:dyDescent="0.2">
      <c r="A11" s="9" t="s">
        <v>29</v>
      </c>
      <c r="B11" s="7">
        <v>2</v>
      </c>
      <c r="C11" s="7">
        <v>2</v>
      </c>
      <c r="D11" s="7">
        <f t="shared" si="0"/>
        <v>4</v>
      </c>
      <c r="E11" s="12">
        <f>'Table 2'!E18</f>
        <v>4.666666666666667</v>
      </c>
      <c r="F11" s="42">
        <f t="shared" si="1"/>
        <v>18.666666666666668</v>
      </c>
      <c r="G11" s="42">
        <f t="shared" si="2"/>
        <v>0.93333333333333346</v>
      </c>
      <c r="H11" s="42">
        <f t="shared" si="3"/>
        <v>1.8666666666666669</v>
      </c>
      <c r="I11" s="10">
        <f t="shared" si="4"/>
        <v>1072.4933333333333</v>
      </c>
    </row>
    <row r="12" spans="1:10" s="20" customFormat="1" ht="15.75" x14ac:dyDescent="0.2">
      <c r="A12" s="16" t="s">
        <v>43</v>
      </c>
      <c r="B12" s="16"/>
      <c r="C12" s="16"/>
      <c r="D12" s="16"/>
      <c r="E12" s="16"/>
      <c r="F12" s="97">
        <f>ROUND(SUM(F5:H11),0)</f>
        <v>64</v>
      </c>
      <c r="G12" s="97"/>
      <c r="H12" s="97"/>
      <c r="I12" s="15">
        <f>ROUND(SUM(I5:I11),-1)</f>
        <v>3220</v>
      </c>
    </row>
    <row r="13" spans="1:10" s="20" customFormat="1" ht="12.75" x14ac:dyDescent="0.2">
      <c r="J13" s="21"/>
    </row>
    <row r="14" spans="1:10" s="20" customFormat="1" ht="12.75" x14ac:dyDescent="0.2">
      <c r="A14" s="18" t="s">
        <v>35</v>
      </c>
    </row>
    <row r="15" spans="1:10" s="20" customFormat="1" ht="33.75" customHeight="1" x14ac:dyDescent="0.2">
      <c r="A15" s="92" t="s">
        <v>96</v>
      </c>
      <c r="B15" s="92"/>
      <c r="C15" s="92"/>
      <c r="D15" s="92"/>
      <c r="E15" s="92"/>
      <c r="F15" s="92"/>
      <c r="G15" s="92"/>
      <c r="H15" s="92"/>
      <c r="I15" s="92"/>
    </row>
    <row r="16" spans="1:10" s="20" customFormat="1" ht="45" customHeight="1" x14ac:dyDescent="0.2">
      <c r="A16" s="91" t="s">
        <v>97</v>
      </c>
      <c r="B16" s="91"/>
      <c r="C16" s="91"/>
      <c r="D16" s="91"/>
      <c r="E16" s="91"/>
      <c r="F16" s="91"/>
      <c r="G16" s="91"/>
      <c r="H16" s="91"/>
      <c r="I16" s="91"/>
    </row>
    <row r="17" spans="1:9" s="20" customFormat="1" ht="15.75" x14ac:dyDescent="0.2">
      <c r="A17" s="98" t="s">
        <v>44</v>
      </c>
      <c r="B17" s="98"/>
      <c r="C17" s="98"/>
      <c r="D17" s="98"/>
      <c r="E17" s="98"/>
      <c r="F17" s="98"/>
      <c r="G17" s="98"/>
      <c r="H17" s="98"/>
      <c r="I17" s="98"/>
    </row>
    <row r="18" spans="1:9" s="20" customFormat="1" ht="15.75" x14ac:dyDescent="0.2">
      <c r="A18" s="99" t="s">
        <v>45</v>
      </c>
      <c r="B18" s="99"/>
      <c r="C18" s="99"/>
      <c r="D18" s="99"/>
      <c r="E18" s="99"/>
      <c r="F18" s="99"/>
      <c r="G18" s="99"/>
      <c r="H18" s="99"/>
      <c r="I18" s="99"/>
    </row>
    <row r="19" spans="1:9" s="20" customFormat="1" ht="12.75" x14ac:dyDescent="0.2"/>
    <row r="20" spans="1:9" s="20" customFormat="1" ht="12.75" x14ac:dyDescent="0.2"/>
    <row r="21" spans="1:9" s="20" customFormat="1" ht="12.75" x14ac:dyDescent="0.2"/>
    <row r="22" spans="1:9" s="20" customFormat="1" ht="12.75" x14ac:dyDescent="0.2"/>
    <row r="23" spans="1:9" s="20" customFormat="1" ht="12.75" x14ac:dyDescent="0.2"/>
    <row r="24" spans="1:9" s="20" customFormat="1" ht="12.75" x14ac:dyDescent="0.2"/>
    <row r="25" spans="1:9" s="20" customFormat="1" ht="12.75" x14ac:dyDescent="0.2"/>
    <row r="26" spans="1:9" s="20" customFormat="1" ht="12.75" x14ac:dyDescent="0.2"/>
    <row r="27" spans="1:9" s="20" customFormat="1" ht="12.75" x14ac:dyDescent="0.2"/>
    <row r="28" spans="1:9" s="20" customFormat="1" ht="12.75" x14ac:dyDescent="0.2"/>
    <row r="29" spans="1:9" s="20" customFormat="1" ht="12.75" x14ac:dyDescent="0.2"/>
    <row r="30" spans="1:9" s="20" customFormat="1" ht="12.75" x14ac:dyDescent="0.2"/>
    <row r="31" spans="1:9" s="20" customFormat="1" ht="12.75" x14ac:dyDescent="0.2"/>
    <row r="32" spans="1:9" s="20" customFormat="1" x14ac:dyDescent="0.25">
      <c r="A32"/>
      <c r="B32"/>
      <c r="C32"/>
      <c r="D32"/>
      <c r="E32"/>
      <c r="F32"/>
      <c r="G32"/>
      <c r="H32"/>
      <c r="I32"/>
    </row>
    <row r="33" spans="1:9" s="20" customFormat="1" x14ac:dyDescent="0.25">
      <c r="A33"/>
      <c r="B33"/>
      <c r="C33"/>
      <c r="D33"/>
      <c r="E33"/>
      <c r="F33"/>
      <c r="G33"/>
      <c r="H33"/>
      <c r="I33"/>
    </row>
  </sheetData>
  <sheetProtection algorithmName="SHA-512" hashValue="U678NEGCteAhu68tmaFzr4fJkV75o41zrJ9mlJ3d26s6+YWuN9en0wRkJc6p/7+O1QHBBlhoc3jHXbVgBwdwXg==" saltValue="mYV6wT5xf088tQeSBPQ6ow==" spinCount="100000" sheet="1" objects="1" scenarios="1"/>
  <mergeCells count="6">
    <mergeCell ref="A18:I18"/>
    <mergeCell ref="A3:A4"/>
    <mergeCell ref="F12:H12"/>
    <mergeCell ref="A15:I15"/>
    <mergeCell ref="A16:I16"/>
    <mergeCell ref="A17:I1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3AD05-93FB-450B-BC62-2520157348E9}">
  <dimension ref="A1:J33"/>
  <sheetViews>
    <sheetView workbookViewId="0">
      <selection activeCell="A2" sqref="A2"/>
    </sheetView>
  </sheetViews>
  <sheetFormatPr defaultRowHeight="15" x14ac:dyDescent="0.25"/>
  <cols>
    <col min="1" max="1" width="43.85546875" customWidth="1"/>
    <col min="2" max="2" width="10" customWidth="1"/>
    <col min="3" max="3" width="11" customWidth="1"/>
    <col min="4" max="4" width="9.7109375" customWidth="1"/>
    <col min="5" max="5" width="11" customWidth="1"/>
    <col min="7" max="7" width="10.7109375" customWidth="1"/>
    <col min="12" max="12" width="31" customWidth="1"/>
    <col min="15" max="15" width="23.42578125" customWidth="1"/>
    <col min="16" max="16" width="21.5703125" customWidth="1"/>
  </cols>
  <sheetData>
    <row r="1" spans="1:10" ht="15.75" x14ac:dyDescent="0.25">
      <c r="A1" s="19" t="s">
        <v>107</v>
      </c>
    </row>
    <row r="2" spans="1:10" s="20" customFormat="1" ht="12.75" x14ac:dyDescent="0.2">
      <c r="F2" s="2">
        <v>51.23</v>
      </c>
      <c r="G2" s="2">
        <v>69.040000000000006</v>
      </c>
      <c r="H2" s="2">
        <v>27.73</v>
      </c>
      <c r="I2" s="2"/>
    </row>
    <row r="3" spans="1:10" s="20" customFormat="1" ht="12.75" x14ac:dyDescent="0.2">
      <c r="A3" s="97" t="s">
        <v>0</v>
      </c>
      <c r="B3" s="3" t="s">
        <v>1</v>
      </c>
      <c r="C3" s="3" t="s">
        <v>2</v>
      </c>
      <c r="D3" s="3" t="s">
        <v>3</v>
      </c>
      <c r="E3" s="3" t="s">
        <v>4</v>
      </c>
      <c r="F3" s="4" t="s">
        <v>5</v>
      </c>
      <c r="G3" s="3" t="s">
        <v>6</v>
      </c>
      <c r="H3" s="3" t="s">
        <v>7</v>
      </c>
      <c r="I3" s="3" t="s">
        <v>8</v>
      </c>
    </row>
    <row r="4" spans="1:10" s="20" customFormat="1" ht="63.75" x14ac:dyDescent="0.2">
      <c r="A4" s="97"/>
      <c r="B4" s="5" t="s">
        <v>9</v>
      </c>
      <c r="C4" s="5" t="s">
        <v>10</v>
      </c>
      <c r="D4" s="5" t="s">
        <v>11</v>
      </c>
      <c r="E4" s="5" t="s">
        <v>12</v>
      </c>
      <c r="F4" s="5" t="s">
        <v>13</v>
      </c>
      <c r="G4" s="5" t="s">
        <v>14</v>
      </c>
      <c r="H4" s="5" t="s">
        <v>15</v>
      </c>
      <c r="I4" s="5" t="s">
        <v>16</v>
      </c>
    </row>
    <row r="5" spans="1:10" s="20" customFormat="1" ht="12.75" x14ac:dyDescent="0.2">
      <c r="A5" s="6" t="s">
        <v>38</v>
      </c>
      <c r="B5" s="7"/>
      <c r="C5" s="7"/>
      <c r="D5" s="7"/>
      <c r="E5" s="7"/>
      <c r="F5" s="7"/>
      <c r="G5" s="7"/>
      <c r="H5" s="7"/>
      <c r="I5" s="6" t="s">
        <v>39</v>
      </c>
    </row>
    <row r="6" spans="1:10" s="20" customFormat="1" ht="12.75" x14ac:dyDescent="0.2">
      <c r="A6" s="9" t="s">
        <v>40</v>
      </c>
      <c r="B6" s="7">
        <v>2</v>
      </c>
      <c r="C6" s="7">
        <v>1</v>
      </c>
      <c r="D6" s="7">
        <f>B6*C6</f>
        <v>2</v>
      </c>
      <c r="E6" s="12">
        <f>'Table 3'!E15</f>
        <v>2.3333333333333335</v>
      </c>
      <c r="F6" s="42">
        <f>D6*E6</f>
        <v>4.666666666666667</v>
      </c>
      <c r="G6" s="42">
        <f>F6*0.05</f>
        <v>0.23333333333333336</v>
      </c>
      <c r="H6" s="42">
        <f>F6*0.1</f>
        <v>0.46666666666666673</v>
      </c>
      <c r="I6" s="10">
        <f>$F$2*F6+$G$2*G6+$H$2*H6</f>
        <v>268.12333333333333</v>
      </c>
    </row>
    <row r="7" spans="1:10" s="20" customFormat="1" ht="12.75" x14ac:dyDescent="0.2">
      <c r="A7" s="9" t="s">
        <v>27</v>
      </c>
      <c r="B7" s="7">
        <v>2</v>
      </c>
      <c r="C7" s="7">
        <v>1</v>
      </c>
      <c r="D7" s="7">
        <f t="shared" ref="D7:D11" si="0">B7*C7</f>
        <v>2</v>
      </c>
      <c r="E7" s="12">
        <f>'Table 3'!E16</f>
        <v>2.3333333333333335</v>
      </c>
      <c r="F7" s="42">
        <f t="shared" ref="F7:F11" si="1">D7*E7</f>
        <v>4.666666666666667</v>
      </c>
      <c r="G7" s="42">
        <f t="shared" ref="G7:G11" si="2">F7*0.05</f>
        <v>0.23333333333333336</v>
      </c>
      <c r="H7" s="42">
        <f t="shared" ref="H7:H11" si="3">F7*0.1</f>
        <v>0.46666666666666673</v>
      </c>
      <c r="I7" s="10">
        <f t="shared" ref="I7:I11" si="4">$F$2*F7+$G$2*G7+$H$2*H7</f>
        <v>268.12333333333333</v>
      </c>
    </row>
    <row r="8" spans="1:10" s="20" customFormat="1" ht="12.75" x14ac:dyDescent="0.2">
      <c r="A8" s="9" t="s">
        <v>28</v>
      </c>
      <c r="B8" s="7">
        <v>2</v>
      </c>
      <c r="C8" s="7">
        <v>1</v>
      </c>
      <c r="D8" s="7">
        <f t="shared" si="0"/>
        <v>2</v>
      </c>
      <c r="E8" s="12">
        <f>'Table 3'!E17</f>
        <v>2.8000000000000003</v>
      </c>
      <c r="F8" s="42">
        <f t="shared" si="1"/>
        <v>5.6000000000000005</v>
      </c>
      <c r="G8" s="42">
        <f t="shared" si="2"/>
        <v>0.28000000000000003</v>
      </c>
      <c r="H8" s="42">
        <f t="shared" si="3"/>
        <v>0.56000000000000005</v>
      </c>
      <c r="I8" s="10">
        <f t="shared" si="4"/>
        <v>321.74800000000005</v>
      </c>
    </row>
    <row r="9" spans="1:10" s="20" customFormat="1" ht="12.75" x14ac:dyDescent="0.2">
      <c r="A9" s="9" t="s">
        <v>41</v>
      </c>
      <c r="B9" s="7">
        <v>8</v>
      </c>
      <c r="C9" s="7">
        <v>1</v>
      </c>
      <c r="D9" s="7">
        <f t="shared" si="0"/>
        <v>8</v>
      </c>
      <c r="E9" s="12">
        <f>'Table 3'!E12</f>
        <v>2.3333333333333335</v>
      </c>
      <c r="F9" s="12">
        <f t="shared" si="1"/>
        <v>18.666666666666668</v>
      </c>
      <c r="G9" s="42">
        <f t="shared" si="2"/>
        <v>0.93333333333333346</v>
      </c>
      <c r="H9" s="42">
        <f t="shared" si="3"/>
        <v>1.8666666666666669</v>
      </c>
      <c r="I9" s="10">
        <f t="shared" si="4"/>
        <v>1072.4933333333333</v>
      </c>
    </row>
    <row r="10" spans="1:10" s="20" customFormat="1" ht="15.75" x14ac:dyDescent="0.2">
      <c r="A10" s="9" t="s">
        <v>42</v>
      </c>
      <c r="B10" s="7">
        <v>8</v>
      </c>
      <c r="C10" s="7">
        <v>1</v>
      </c>
      <c r="D10" s="7">
        <f t="shared" si="0"/>
        <v>8</v>
      </c>
      <c r="E10" s="12">
        <f>E9*0.2</f>
        <v>0.46666666666666673</v>
      </c>
      <c r="F10" s="42">
        <f t="shared" si="1"/>
        <v>3.7333333333333338</v>
      </c>
      <c r="G10" s="42">
        <f t="shared" si="2"/>
        <v>0.1866666666666667</v>
      </c>
      <c r="H10" s="42">
        <f t="shared" si="3"/>
        <v>0.37333333333333341</v>
      </c>
      <c r="I10" s="10">
        <f t="shared" si="4"/>
        <v>214.49866666666668</v>
      </c>
    </row>
    <row r="11" spans="1:10" s="20" customFormat="1" ht="12.75" x14ac:dyDescent="0.2">
      <c r="A11" s="9" t="s">
        <v>29</v>
      </c>
      <c r="B11" s="7">
        <v>2</v>
      </c>
      <c r="C11" s="7">
        <v>2</v>
      </c>
      <c r="D11" s="7">
        <f t="shared" si="0"/>
        <v>4</v>
      </c>
      <c r="E11" s="12">
        <f>'Table 3'!E18</f>
        <v>7</v>
      </c>
      <c r="F11" s="42">
        <f t="shared" si="1"/>
        <v>28</v>
      </c>
      <c r="G11" s="42">
        <f t="shared" si="2"/>
        <v>1.4000000000000001</v>
      </c>
      <c r="H11" s="42">
        <f t="shared" si="3"/>
        <v>2.8000000000000003</v>
      </c>
      <c r="I11" s="10">
        <f t="shared" si="4"/>
        <v>1608.7399999999998</v>
      </c>
    </row>
    <row r="12" spans="1:10" s="20" customFormat="1" ht="15.75" x14ac:dyDescent="0.2">
      <c r="A12" s="16" t="s">
        <v>43</v>
      </c>
      <c r="B12" s="16"/>
      <c r="C12" s="16"/>
      <c r="D12" s="16"/>
      <c r="E12" s="16"/>
      <c r="F12" s="97">
        <f>ROUND(SUM(F5:H11),0)</f>
        <v>75</v>
      </c>
      <c r="G12" s="97"/>
      <c r="H12" s="97"/>
      <c r="I12" s="15">
        <f>ROUND(SUM(I5:I11),-1)</f>
        <v>3750</v>
      </c>
    </row>
    <row r="13" spans="1:10" s="20" customFormat="1" ht="12.75" x14ac:dyDescent="0.2">
      <c r="J13" s="21"/>
    </row>
    <row r="14" spans="1:10" s="20" customFormat="1" ht="12.75" x14ac:dyDescent="0.2">
      <c r="A14" s="18" t="s">
        <v>35</v>
      </c>
    </row>
    <row r="15" spans="1:10" s="20" customFormat="1" ht="32.25" customHeight="1" x14ac:dyDescent="0.2">
      <c r="A15" s="92" t="s">
        <v>96</v>
      </c>
      <c r="B15" s="92"/>
      <c r="C15" s="92"/>
      <c r="D15" s="92"/>
      <c r="E15" s="92"/>
      <c r="F15" s="92"/>
      <c r="G15" s="92"/>
      <c r="H15" s="92"/>
      <c r="I15" s="92"/>
    </row>
    <row r="16" spans="1:10" s="20" customFormat="1" ht="44.25" customHeight="1" x14ac:dyDescent="0.2">
      <c r="A16" s="91" t="s">
        <v>97</v>
      </c>
      <c r="B16" s="91"/>
      <c r="C16" s="91"/>
      <c r="D16" s="91"/>
      <c r="E16" s="91"/>
      <c r="F16" s="91"/>
      <c r="G16" s="91"/>
      <c r="H16" s="91"/>
      <c r="I16" s="91"/>
    </row>
    <row r="17" spans="1:9" s="20" customFormat="1" ht="15.75" x14ac:dyDescent="0.2">
      <c r="A17" s="98" t="s">
        <v>44</v>
      </c>
      <c r="B17" s="98"/>
      <c r="C17" s="98"/>
      <c r="D17" s="98"/>
      <c r="E17" s="98"/>
      <c r="F17" s="98"/>
      <c r="G17" s="98"/>
      <c r="H17" s="98"/>
      <c r="I17" s="98"/>
    </row>
    <row r="18" spans="1:9" s="20" customFormat="1" ht="15.75" x14ac:dyDescent="0.2">
      <c r="A18" s="99" t="s">
        <v>45</v>
      </c>
      <c r="B18" s="99"/>
      <c r="C18" s="99"/>
      <c r="D18" s="99"/>
      <c r="E18" s="99"/>
      <c r="F18" s="99"/>
      <c r="G18" s="99"/>
      <c r="H18" s="99"/>
      <c r="I18" s="99"/>
    </row>
    <row r="19" spans="1:9" s="20" customFormat="1" ht="12.75" x14ac:dyDescent="0.2"/>
    <row r="20" spans="1:9" s="20" customFormat="1" ht="12.75" x14ac:dyDescent="0.2"/>
    <row r="21" spans="1:9" s="20" customFormat="1" ht="12.75" x14ac:dyDescent="0.2"/>
    <row r="22" spans="1:9" s="20" customFormat="1" ht="12.75" x14ac:dyDescent="0.2"/>
    <row r="23" spans="1:9" s="20" customFormat="1" ht="12.75" x14ac:dyDescent="0.2"/>
    <row r="24" spans="1:9" s="20" customFormat="1" ht="12.75" x14ac:dyDescent="0.2"/>
    <row r="25" spans="1:9" s="20" customFormat="1" ht="12.75" x14ac:dyDescent="0.2"/>
    <row r="26" spans="1:9" s="20" customFormat="1" ht="12.75" x14ac:dyDescent="0.2"/>
    <row r="27" spans="1:9" s="20" customFormat="1" ht="12.75" x14ac:dyDescent="0.2"/>
    <row r="28" spans="1:9" s="20" customFormat="1" ht="12.75" x14ac:dyDescent="0.2"/>
    <row r="29" spans="1:9" s="20" customFormat="1" ht="12.75" x14ac:dyDescent="0.2"/>
    <row r="30" spans="1:9" s="20" customFormat="1" ht="12.75" x14ac:dyDescent="0.2"/>
    <row r="31" spans="1:9" s="20" customFormat="1" ht="12.75" x14ac:dyDescent="0.2"/>
    <row r="32" spans="1:9" s="20" customFormat="1" x14ac:dyDescent="0.25">
      <c r="A32"/>
      <c r="B32"/>
      <c r="C32"/>
      <c r="D32"/>
      <c r="E32"/>
      <c r="F32"/>
      <c r="G32"/>
      <c r="H32"/>
      <c r="I32"/>
    </row>
    <row r="33" spans="1:9" s="20" customFormat="1" x14ac:dyDescent="0.25">
      <c r="A33"/>
      <c r="B33"/>
      <c r="C33"/>
      <c r="D33"/>
      <c r="E33"/>
      <c r="F33"/>
      <c r="G33"/>
      <c r="H33"/>
      <c r="I33"/>
    </row>
  </sheetData>
  <sheetProtection algorithmName="SHA-512" hashValue="aSRHWk65LCc/VX001qe6m6boBeUFvHZwrZ70bjWWK7AnbJmvI0oqF/JgNWS8tqYlBRCq6C8gy1Bk2flQcGe58Q==" saltValue="VC7gYAucGQsarvGc8o91Gg==" spinCount="100000" sheet="1" objects="1" scenarios="1"/>
  <mergeCells count="6">
    <mergeCell ref="A18:I18"/>
    <mergeCell ref="A3:A4"/>
    <mergeCell ref="F12:H12"/>
    <mergeCell ref="A15:I15"/>
    <mergeCell ref="A16:I16"/>
    <mergeCell ref="A17:I1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94162-E7BF-414F-8A9C-978C18636252}">
  <dimension ref="A1:E7"/>
  <sheetViews>
    <sheetView workbookViewId="0">
      <selection activeCell="A8" sqref="A8"/>
    </sheetView>
  </sheetViews>
  <sheetFormatPr defaultRowHeight="15" x14ac:dyDescent="0.25"/>
  <cols>
    <col min="1" max="1" width="15.7109375" customWidth="1"/>
  </cols>
  <sheetData>
    <row r="1" spans="1:5" x14ac:dyDescent="0.25">
      <c r="A1" s="22" t="s">
        <v>108</v>
      </c>
    </row>
    <row r="2" spans="1:5" ht="39.75" thickBot="1" x14ac:dyDescent="0.3">
      <c r="A2" s="57" t="s">
        <v>74</v>
      </c>
      <c r="B2" s="58" t="s">
        <v>98</v>
      </c>
      <c r="C2" s="58" t="s">
        <v>83</v>
      </c>
      <c r="D2" s="58" t="s">
        <v>99</v>
      </c>
      <c r="E2" s="58" t="s">
        <v>85</v>
      </c>
    </row>
    <row r="3" spans="1:5" ht="15.75" thickTop="1" x14ac:dyDescent="0.25">
      <c r="A3" s="59">
        <v>1</v>
      </c>
      <c r="B3" s="60">
        <f>'Table 5'!F12</f>
        <v>54</v>
      </c>
      <c r="C3" s="61">
        <f>'Table 5'!I12</f>
        <v>2680</v>
      </c>
      <c r="D3" s="62">
        <v>0</v>
      </c>
      <c r="E3" s="62">
        <f>+C3+D3</f>
        <v>2680</v>
      </c>
    </row>
    <row r="4" spans="1:5" x14ac:dyDescent="0.25">
      <c r="A4" s="46">
        <v>2</v>
      </c>
      <c r="B4" s="60">
        <f>'Table 6'!F12</f>
        <v>64</v>
      </c>
      <c r="C4" s="62">
        <f>'Table 6'!I12</f>
        <v>3220</v>
      </c>
      <c r="D4" s="63">
        <v>0</v>
      </c>
      <c r="E4" s="62">
        <f>+C4+D4</f>
        <v>3220</v>
      </c>
    </row>
    <row r="5" spans="1:5" ht="15.75" thickBot="1" x14ac:dyDescent="0.3">
      <c r="A5" s="64">
        <v>3</v>
      </c>
      <c r="B5" s="65">
        <f>'Table 7'!F12</f>
        <v>75</v>
      </c>
      <c r="C5" s="66">
        <f>'Table 7'!I12</f>
        <v>3750</v>
      </c>
      <c r="D5" s="67">
        <v>0</v>
      </c>
      <c r="E5" s="67">
        <f>+C5+D5</f>
        <v>3750</v>
      </c>
    </row>
    <row r="6" spans="1:5" ht="15.75" thickTop="1" x14ac:dyDescent="0.25">
      <c r="A6" s="71" t="s">
        <v>111</v>
      </c>
      <c r="B6" s="72">
        <f>SUM(B3:B5)</f>
        <v>193</v>
      </c>
      <c r="C6" s="73">
        <f>SUM(C3:C5)</f>
        <v>9650</v>
      </c>
      <c r="D6" s="73">
        <f t="shared" ref="D6:E6" si="0">SUM(D3:D5)</f>
        <v>0</v>
      </c>
      <c r="E6" s="73">
        <f t="shared" si="0"/>
        <v>9650</v>
      </c>
    </row>
    <row r="7" spans="1:5" x14ac:dyDescent="0.25">
      <c r="A7" s="45" t="s">
        <v>112</v>
      </c>
      <c r="B7" s="74">
        <f>AVERAGE(B3:B5)</f>
        <v>64.333333333333329</v>
      </c>
      <c r="C7" s="75">
        <f>ROUND(AVERAGE(C3:C5),-1)</f>
        <v>3220</v>
      </c>
      <c r="D7" s="75">
        <f>AVERAGE(D3:D5)</f>
        <v>0</v>
      </c>
      <c r="E7" s="75">
        <f>ROUND(AVERAGE(E3:E5),-1)</f>
        <v>3220</v>
      </c>
    </row>
  </sheetData>
  <sheetProtection algorithmName="SHA-512" hashValue="/d8KP0F1zM3jkTyMws/vyI7BNrPlJjKW0I6S7SN8LsrHP12vIWv1Y/4TL/ulsGLPUrtJ4wnM2pswXOZUfunZoQ==" saltValue="FJvaHulcVCevuvylYfHrl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29f62856-1543-49d4-a736-4569d363f533" ContentTypeId="0x0101" PreviousValue="false"/>
</file>

<file path=customXml/item3.xml><?xml version="1.0" encoding="utf-8"?>
<ct:contentTypeSchema xmlns:ct="http://schemas.microsoft.com/office/2006/metadata/contentType" xmlns:ma="http://schemas.microsoft.com/office/2006/metadata/properties/metaAttributes" ct:_="" ma:_="" ma:contentTypeName="Document" ma:contentTypeID="0x010100C14BEA793E871741BB5BFC015BE97561" ma:contentTypeVersion="11" ma:contentTypeDescription="Create a new document." ma:contentTypeScope="" ma:versionID="ea566342c01f458e21b9901286ccdeaf">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46a8cd57-5784-4cac-a6bd-5ef783e3d2a5" xmlns:ns6="4d27f04f-83d7-4d75-8ccf-cd2a30d94274" targetNamespace="http://schemas.microsoft.com/office/2006/metadata/properties" ma:root="true" ma:fieldsID="e1398481648e11644d314064f13def64" ns1:_="" ns2:_="" ns3:_="" ns4:_="" ns5:_="" ns6:_="">
    <xsd:import namespace="http://schemas.microsoft.com/sharepoint/v3"/>
    <xsd:import namespace="4ffa91fb-a0ff-4ac5-b2db-65c790d184a4"/>
    <xsd:import namespace="http://schemas.microsoft.com/sharepoint.v3"/>
    <xsd:import namespace="http://schemas.microsoft.com/sharepoint/v3/fields"/>
    <xsd:import namespace="46a8cd57-5784-4cac-a6bd-5ef783e3d2a5"/>
    <xsd:import namespace="4d27f04f-83d7-4d75-8ccf-cd2a30d94274"/>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5:MediaServiceDateTaken" minOccurs="0"/>
                <xsd:element ref="ns5:MediaLengthInSeconds" minOccurs="0"/>
                <xsd:element ref="ns5:lcf76f155ced4ddcb4097134ff3c332f" minOccurs="0"/>
                <xsd:element ref="ns5:MediaServiceOCR" minOccurs="0"/>
                <xsd:element ref="ns5:MediaServiceGenerationTime" minOccurs="0"/>
                <xsd:element ref="ns5:MediaServiceEventHashCode" minOccurs="0"/>
                <xsd:element ref="ns6:SharedWithUsers" minOccurs="0"/>
                <xsd:element ref="ns6: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47e64720-fcbf-4c31-9123-2c110f2663c7}" ma:internalName="TaxCatchAllLabel" ma:readOnly="true" ma:showField="CatchAllDataLabel" ma:web="4d27f04f-83d7-4d75-8ccf-cd2a30d94274">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47e64720-fcbf-4c31-9123-2c110f2663c7}" ma:internalName="TaxCatchAll" ma:showField="CatchAllData" ma:web="4d27f04f-83d7-4d75-8ccf-cd2a30d9427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6a8cd57-5784-4cac-a6bd-5ef783e3d2a5"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DateTaken" ma:index="30" nillable="true" ma:displayName="MediaServiceDateTaken" ma:hidden="true" ma:internalName="MediaServiceDateTaken" ma:readOnly="true">
      <xsd:simpleType>
        <xsd:restriction base="dms:Text"/>
      </xsd:simpleType>
    </xsd:element>
    <xsd:element name="MediaLengthInSeconds" ma:index="31" nillable="true" ma:displayName="MediaLengthInSeconds" ma:hidden="true" ma:internalName="MediaLengthInSeconds" ma:readOnly="true">
      <xsd:simpleType>
        <xsd:restriction base="dms:Unknow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d27f04f-83d7-4d75-8ccf-cd2a30d94274" elementFormDefault="qualified">
    <xsd:import namespace="http://schemas.microsoft.com/office/2006/documentManagement/types"/>
    <xsd:import namespace="http://schemas.microsoft.com/office/infopath/2007/PartnerControls"/>
    <xsd:element name="SharedWithUsers" ma:index="3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lcf76f155ced4ddcb4097134ff3c332f xmlns="46a8cd57-5784-4cac-a6bd-5ef783e3d2a5">
      <Terms xmlns="http://schemas.microsoft.com/office/infopath/2007/PartnerControls"/>
    </lcf76f155ced4ddcb4097134ff3c332f>
    <Rights xmlns="4ffa91fb-a0ff-4ac5-b2db-65c790d184a4" xsi:nil="true"/>
    <Document_x0020_Creation_x0020_Date xmlns="4ffa91fb-a0ff-4ac5-b2db-65c790d184a4">2023-03-01T21:05:09+00:00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documentManagement>
</p:properties>
</file>

<file path=customXml/itemProps1.xml><?xml version="1.0" encoding="utf-8"?>
<ds:datastoreItem xmlns:ds="http://schemas.openxmlformats.org/officeDocument/2006/customXml" ds:itemID="{911C4814-40D1-44EB-9E8F-79A3BD57CCD9}">
  <ds:schemaRefs>
    <ds:schemaRef ds:uri="http://schemas.microsoft.com/sharepoint/v3/contenttype/forms"/>
  </ds:schemaRefs>
</ds:datastoreItem>
</file>

<file path=customXml/itemProps2.xml><?xml version="1.0" encoding="utf-8"?>
<ds:datastoreItem xmlns:ds="http://schemas.openxmlformats.org/officeDocument/2006/customXml" ds:itemID="{AB644854-65FB-4A91-A355-AF956F444C19}">
  <ds:schemaRefs>
    <ds:schemaRef ds:uri="Microsoft.SharePoint.Taxonomy.ContentTypeSync"/>
  </ds:schemaRefs>
</ds:datastoreItem>
</file>

<file path=customXml/itemProps3.xml><?xml version="1.0" encoding="utf-8"?>
<ds:datastoreItem xmlns:ds="http://schemas.openxmlformats.org/officeDocument/2006/customXml" ds:itemID="{A71F04EB-AB0E-49DB-B610-7AFC6007F4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46a8cd57-5784-4cac-a6bd-5ef783e3d2a5"/>
    <ds:schemaRef ds:uri="4d27f04f-83d7-4d75-8ccf-cd2a30d942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77D42E8-3C5A-41C2-BF9D-75105DEC5B6D}">
  <ds:schemaRefs>
    <ds:schemaRef ds:uri="http://schemas.microsoft.com/office/2006/metadata/properties"/>
    <ds:schemaRef ds:uri="http://schemas.microsoft.com/office/infopath/2007/PartnerControls"/>
    <ds:schemaRef ds:uri="http://schemas.microsoft.com/sharepoint/v3/fields"/>
    <ds:schemaRef ds:uri="http://schemas.microsoft.com/sharepoint/v3"/>
    <ds:schemaRef ds:uri="4ffa91fb-a0ff-4ac5-b2db-65c790d184a4"/>
    <ds:schemaRef ds:uri="46a8cd57-5784-4cac-a6bd-5ef783e3d2a5"/>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Cover</vt:lpstr>
      <vt:lpstr>Table 1</vt:lpstr>
      <vt:lpstr>Table 2</vt:lpstr>
      <vt:lpstr>Table 3</vt:lpstr>
      <vt:lpstr>Table 4</vt:lpstr>
      <vt:lpstr>Table 5</vt:lpstr>
      <vt:lpstr>Table 6</vt:lpstr>
      <vt:lpstr>Table 7</vt:lpstr>
      <vt:lpstr>Table 8</vt:lpstr>
      <vt:lpstr>Capital O&amp;M</vt:lpstr>
      <vt:lpstr>Responses</vt:lpstr>
      <vt:lpstr>Respondents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Stacie Enoch</dc:creator>
  <cp:lastModifiedBy>Schultz, Eric</cp:lastModifiedBy>
  <dcterms:created xsi:type="dcterms:W3CDTF">2015-06-05T18:17:20Z</dcterms:created>
  <dcterms:modified xsi:type="dcterms:W3CDTF">2023-11-22T20:01:08Z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0x010100C14BEA793E871741BB5BFC015BE97561</vt:lpwstr>
  </property>
  <property fmtid="{D5CDD505-2E9C-101B-9397-08002B2CF9AE}" pid="3" name="TaxKeyword">
    <vt:lpwstr/>
  </property>
</Properties>
</file>