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kristen_corey_usda_gov/Documents/PR Food Security/Deliverables/OMB/16 change Dec 2023/"/>
    </mc:Choice>
  </mc:AlternateContent>
  <xr:revisionPtr revIDLastSave="234" documentId="8_{ACC7D3DC-25A8-4801-928D-2F19DCE345A4}" xr6:coauthVersionLast="47" xr6:coauthVersionMax="47" xr10:uidLastSave="{F73697C8-4D5A-4ECB-97F1-A7D94E6CDD70}"/>
  <bookViews>
    <workbookView xWindow="-108" yWindow="-108" windowWidth="23256" windowHeight="12720" xr2:uid="{00000000-000D-0000-FFFF-FFFF00000000}"/>
  </bookViews>
  <sheets>
    <sheet name="Burden Table" sheetId="5" r:id="rId1"/>
    <sheet name="Burden Table - Detailed OMB" sheetId="1" state="hidden" r:id="rId2"/>
    <sheet name="assumptions" sheetId="3" state="hidden" r:id="rId3"/>
  </sheets>
  <definedNames>
    <definedName name="_xlnm._FilterDatabase" localSheetId="0" hidden="1">'Burden Table'!$B$3:$AZ$96</definedName>
    <definedName name="_xlnm.Print_Area" localSheetId="0">'Burden Table'!$B$1:$S$98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98" i="5" l="1"/>
  <c r="G114" i="5" l="1"/>
  <c r="R59" i="5" l="1"/>
  <c r="M59" i="5"/>
  <c r="O59" i="5" s="1"/>
  <c r="K59" i="5"/>
  <c r="H59" i="5"/>
  <c r="J59" i="5" s="1"/>
  <c r="R58" i="5"/>
  <c r="K58" i="5"/>
  <c r="M58" i="5" s="1"/>
  <c r="O58" i="5" s="1"/>
  <c r="H58" i="5"/>
  <c r="J58" i="5" s="1"/>
  <c r="R57" i="5"/>
  <c r="K57" i="5"/>
  <c r="M57" i="5" s="1"/>
  <c r="O57" i="5" s="1"/>
  <c r="P57" i="5" s="1"/>
  <c r="S57" i="5" s="1"/>
  <c r="H57" i="5"/>
  <c r="J57" i="5" s="1"/>
  <c r="R56" i="5"/>
  <c r="K56" i="5"/>
  <c r="M56" i="5" s="1"/>
  <c r="O56" i="5" s="1"/>
  <c r="H56" i="5"/>
  <c r="J56" i="5" s="1"/>
  <c r="R55" i="5"/>
  <c r="K55" i="5"/>
  <c r="M55" i="5" s="1"/>
  <c r="O55" i="5" s="1"/>
  <c r="H55" i="5"/>
  <c r="J55" i="5" s="1"/>
  <c r="R54" i="5"/>
  <c r="K54" i="5"/>
  <c r="M54" i="5" s="1"/>
  <c r="O54" i="5" s="1"/>
  <c r="H54" i="5"/>
  <c r="J54" i="5" s="1"/>
  <c r="R53" i="5"/>
  <c r="K53" i="5"/>
  <c r="M53" i="5" s="1"/>
  <c r="O53" i="5" s="1"/>
  <c r="H53" i="5"/>
  <c r="J53" i="5" s="1"/>
  <c r="R52" i="5"/>
  <c r="K52" i="5"/>
  <c r="M52" i="5" s="1"/>
  <c r="O52" i="5" s="1"/>
  <c r="P52" i="5" s="1"/>
  <c r="H52" i="5"/>
  <c r="J52" i="5" s="1"/>
  <c r="R51" i="5"/>
  <c r="K51" i="5"/>
  <c r="M51" i="5" s="1"/>
  <c r="O51" i="5" s="1"/>
  <c r="P51" i="5" s="1"/>
  <c r="H51" i="5"/>
  <c r="J51" i="5" s="1"/>
  <c r="R50" i="5"/>
  <c r="K50" i="5"/>
  <c r="M50" i="5" s="1"/>
  <c r="O50" i="5" s="1"/>
  <c r="P50" i="5" s="1"/>
  <c r="H50" i="5"/>
  <c r="J50" i="5" s="1"/>
  <c r="R49" i="5"/>
  <c r="K49" i="5"/>
  <c r="M49" i="5" s="1"/>
  <c r="O49" i="5" s="1"/>
  <c r="H49" i="5"/>
  <c r="J49" i="5" s="1"/>
  <c r="R48" i="5"/>
  <c r="M48" i="5"/>
  <c r="O48" i="5" s="1"/>
  <c r="H48" i="5"/>
  <c r="J48" i="5" s="1"/>
  <c r="R47" i="5"/>
  <c r="M47" i="5"/>
  <c r="O47" i="5" s="1"/>
  <c r="K47" i="5"/>
  <c r="H47" i="5"/>
  <c r="J47" i="5" s="1"/>
  <c r="R46" i="5"/>
  <c r="K46" i="5"/>
  <c r="M46" i="5" s="1"/>
  <c r="O46" i="5" s="1"/>
  <c r="H46" i="5"/>
  <c r="J46" i="5" s="1"/>
  <c r="R45" i="5"/>
  <c r="K45" i="5"/>
  <c r="M45" i="5" s="1"/>
  <c r="O45" i="5" s="1"/>
  <c r="H45" i="5"/>
  <c r="J45" i="5" s="1"/>
  <c r="R42" i="5"/>
  <c r="K42" i="5"/>
  <c r="M42" i="5" s="1"/>
  <c r="O42" i="5" s="1"/>
  <c r="H42" i="5"/>
  <c r="J42" i="5" s="1"/>
  <c r="R41" i="5"/>
  <c r="K41" i="5"/>
  <c r="M41" i="5" s="1"/>
  <c r="O41" i="5" s="1"/>
  <c r="H41" i="5"/>
  <c r="J41" i="5" s="1"/>
  <c r="R40" i="5"/>
  <c r="K40" i="5"/>
  <c r="M40" i="5" s="1"/>
  <c r="O40" i="5" s="1"/>
  <c r="H40" i="5"/>
  <c r="J40" i="5" s="1"/>
  <c r="R39" i="5"/>
  <c r="K39" i="5"/>
  <c r="M39" i="5" s="1"/>
  <c r="O39" i="5" s="1"/>
  <c r="H39" i="5"/>
  <c r="J39" i="5" s="1"/>
  <c r="R38" i="5"/>
  <c r="K38" i="5"/>
  <c r="M38" i="5" s="1"/>
  <c r="O38" i="5" s="1"/>
  <c r="H38" i="5"/>
  <c r="J38" i="5" s="1"/>
  <c r="R37" i="5"/>
  <c r="K37" i="5"/>
  <c r="M37" i="5" s="1"/>
  <c r="O37" i="5" s="1"/>
  <c r="H37" i="5"/>
  <c r="J37" i="5" s="1"/>
  <c r="R36" i="5"/>
  <c r="K36" i="5"/>
  <c r="M36" i="5" s="1"/>
  <c r="O36" i="5" s="1"/>
  <c r="H36" i="5"/>
  <c r="J36" i="5" s="1"/>
  <c r="R35" i="5"/>
  <c r="K35" i="5"/>
  <c r="M35" i="5" s="1"/>
  <c r="O35" i="5" s="1"/>
  <c r="H35" i="5"/>
  <c r="J35" i="5" s="1"/>
  <c r="R34" i="5"/>
  <c r="K34" i="5"/>
  <c r="M34" i="5" s="1"/>
  <c r="O34" i="5" s="1"/>
  <c r="H34" i="5"/>
  <c r="J34" i="5" s="1"/>
  <c r="R33" i="5"/>
  <c r="K33" i="5"/>
  <c r="M33" i="5" s="1"/>
  <c r="O33" i="5" s="1"/>
  <c r="H33" i="5"/>
  <c r="J33" i="5" s="1"/>
  <c r="R32" i="5"/>
  <c r="K32" i="5"/>
  <c r="M32" i="5" s="1"/>
  <c r="O32" i="5" s="1"/>
  <c r="H32" i="5"/>
  <c r="J32" i="5" s="1"/>
  <c r="R31" i="5"/>
  <c r="M31" i="5"/>
  <c r="O31" i="5" s="1"/>
  <c r="H31" i="5"/>
  <c r="J31" i="5" s="1"/>
  <c r="R30" i="5"/>
  <c r="K30" i="5"/>
  <c r="M30" i="5" s="1"/>
  <c r="O30" i="5" s="1"/>
  <c r="H30" i="5"/>
  <c r="J30" i="5" s="1"/>
  <c r="R29" i="5"/>
  <c r="K29" i="5"/>
  <c r="M29" i="5" s="1"/>
  <c r="O29" i="5" s="1"/>
  <c r="H29" i="5"/>
  <c r="J29" i="5" s="1"/>
  <c r="R28" i="5"/>
  <c r="K28" i="5"/>
  <c r="M28" i="5" s="1"/>
  <c r="O28" i="5" s="1"/>
  <c r="H28" i="5"/>
  <c r="J28" i="5" s="1"/>
  <c r="R19" i="5"/>
  <c r="R17" i="5"/>
  <c r="H19" i="5"/>
  <c r="J19" i="5" s="1"/>
  <c r="K19" i="5"/>
  <c r="M19" i="5" s="1"/>
  <c r="O19" i="5" s="1"/>
  <c r="H17" i="5"/>
  <c r="J17" i="5" s="1"/>
  <c r="K17" i="5"/>
  <c r="M17" i="5" s="1"/>
  <c r="O17" i="5" s="1"/>
  <c r="R10" i="5"/>
  <c r="R12" i="5"/>
  <c r="K10" i="5"/>
  <c r="M10" i="5" s="1"/>
  <c r="O10" i="5" s="1"/>
  <c r="M12" i="5"/>
  <c r="O12" i="5" s="1"/>
  <c r="H10" i="5"/>
  <c r="J10" i="5" s="1"/>
  <c r="H12" i="5"/>
  <c r="J12" i="5" s="1"/>
  <c r="E94" i="5"/>
  <c r="R84" i="5"/>
  <c r="K84" i="5"/>
  <c r="M84" i="5" s="1"/>
  <c r="H84" i="5"/>
  <c r="J84" i="5" s="1"/>
  <c r="R88" i="5"/>
  <c r="R89" i="5"/>
  <c r="K88" i="5"/>
  <c r="M88" i="5" s="1"/>
  <c r="O88" i="5" s="1"/>
  <c r="K89" i="5"/>
  <c r="M89" i="5" s="1"/>
  <c r="O89" i="5" s="1"/>
  <c r="H89" i="5"/>
  <c r="J89" i="5" s="1"/>
  <c r="H88" i="5"/>
  <c r="J88" i="5" s="1"/>
  <c r="R74" i="5"/>
  <c r="H74" i="5"/>
  <c r="J74" i="5" s="1"/>
  <c r="R73" i="5"/>
  <c r="H73" i="5"/>
  <c r="J73" i="5" s="1"/>
  <c r="R81" i="5"/>
  <c r="K81" i="5"/>
  <c r="M81" i="5" s="1"/>
  <c r="O81" i="5" s="1"/>
  <c r="H81" i="5"/>
  <c r="J81" i="5" s="1"/>
  <c r="K7" i="5"/>
  <c r="K6" i="5"/>
  <c r="K5" i="5"/>
  <c r="F60" i="5"/>
  <c r="E60" i="5"/>
  <c r="F43" i="5"/>
  <c r="E43" i="5"/>
  <c r="F24" i="5"/>
  <c r="E24" i="5"/>
  <c r="K9" i="5"/>
  <c r="H9" i="5"/>
  <c r="J9" i="5" s="1"/>
  <c r="R9" i="5"/>
  <c r="R91" i="5"/>
  <c r="M91" i="5"/>
  <c r="O91" i="5" s="1"/>
  <c r="H91" i="5"/>
  <c r="J91" i="5" s="1"/>
  <c r="R76" i="5"/>
  <c r="M76" i="5"/>
  <c r="O76" i="5" s="1"/>
  <c r="H76" i="5"/>
  <c r="J76" i="5" s="1"/>
  <c r="S51" i="5" l="1"/>
  <c r="P59" i="5"/>
  <c r="S59" i="5" s="1"/>
  <c r="S52" i="5"/>
  <c r="P49" i="5"/>
  <c r="S49" i="5" s="1"/>
  <c r="P56" i="5"/>
  <c r="S56" i="5" s="1"/>
  <c r="P46" i="5"/>
  <c r="S46" i="5" s="1"/>
  <c r="P53" i="5"/>
  <c r="S53" i="5"/>
  <c r="S50" i="5"/>
  <c r="P54" i="5"/>
  <c r="S54" i="5" s="1"/>
  <c r="P45" i="5"/>
  <c r="S45" i="5" s="1"/>
  <c r="P47" i="5"/>
  <c r="S47" i="5" s="1"/>
  <c r="P58" i="5"/>
  <c r="S58" i="5" s="1"/>
  <c r="P55" i="5"/>
  <c r="S55" i="5" s="1"/>
  <c r="P48" i="5"/>
  <c r="S48" i="5" s="1"/>
  <c r="P39" i="5"/>
  <c r="S39" i="5" s="1"/>
  <c r="P31" i="5"/>
  <c r="S31" i="5" s="1"/>
  <c r="P28" i="5"/>
  <c r="P36" i="5"/>
  <c r="S36" i="5" s="1"/>
  <c r="S28" i="5"/>
  <c r="P41" i="5"/>
  <c r="P35" i="5"/>
  <c r="S35" i="5" s="1"/>
  <c r="P32" i="5"/>
  <c r="P40" i="5"/>
  <c r="S40" i="5" s="1"/>
  <c r="S32" i="5"/>
  <c r="P29" i="5"/>
  <c r="S29" i="5" s="1"/>
  <c r="P33" i="5"/>
  <c r="P37" i="5"/>
  <c r="S33" i="5"/>
  <c r="S37" i="5"/>
  <c r="S41" i="5"/>
  <c r="P30" i="5"/>
  <c r="P34" i="5"/>
  <c r="S34" i="5" s="1"/>
  <c r="P38" i="5"/>
  <c r="S38" i="5" s="1"/>
  <c r="P42" i="5"/>
  <c r="S42" i="5" s="1"/>
  <c r="S30" i="5"/>
  <c r="P17" i="5"/>
  <c r="S17" i="5" s="1"/>
  <c r="P19" i="5"/>
  <c r="S19" i="5" s="1"/>
  <c r="P10" i="5"/>
  <c r="S10" i="5" s="1"/>
  <c r="P12" i="5"/>
  <c r="S12" i="5" s="1"/>
  <c r="O84" i="5"/>
  <c r="K24" i="5"/>
  <c r="P88" i="5"/>
  <c r="S88" i="5" s="1"/>
  <c r="P89" i="5"/>
  <c r="S89" i="5" s="1"/>
  <c r="K74" i="5"/>
  <c r="M74" i="5" s="1"/>
  <c r="O74" i="5" s="1"/>
  <c r="P74" i="5" s="1"/>
  <c r="S74" i="5" s="1"/>
  <c r="K73" i="5"/>
  <c r="M73" i="5" s="1"/>
  <c r="O73" i="5" s="1"/>
  <c r="P73" i="5" s="1"/>
  <c r="S73" i="5" s="1"/>
  <c r="P81" i="5"/>
  <c r="S81" i="5" s="1"/>
  <c r="M9" i="5"/>
  <c r="O9" i="5" s="1"/>
  <c r="P9" i="5" s="1"/>
  <c r="S9" i="5" s="1"/>
  <c r="P76" i="5"/>
  <c r="S76" i="5" s="1"/>
  <c r="P91" i="5"/>
  <c r="S91" i="5" s="1"/>
  <c r="R71" i="5"/>
  <c r="I71" i="5"/>
  <c r="H71" i="5"/>
  <c r="R13" i="5"/>
  <c r="R14" i="5"/>
  <c r="R15" i="5"/>
  <c r="R16" i="5"/>
  <c r="R18" i="5"/>
  <c r="R20" i="5"/>
  <c r="R21" i="5"/>
  <c r="R22" i="5"/>
  <c r="R23" i="5"/>
  <c r="K11" i="5"/>
  <c r="K13" i="5"/>
  <c r="M13" i="5" s="1"/>
  <c r="O13" i="5" s="1"/>
  <c r="K14" i="5"/>
  <c r="M14" i="5" s="1"/>
  <c r="O14" i="5" s="1"/>
  <c r="K15" i="5"/>
  <c r="M15" i="5" s="1"/>
  <c r="O15" i="5" s="1"/>
  <c r="K16" i="5"/>
  <c r="M16" i="5" s="1"/>
  <c r="O16" i="5" s="1"/>
  <c r="K18" i="5"/>
  <c r="M18" i="5" s="1"/>
  <c r="O18" i="5" s="1"/>
  <c r="K20" i="5"/>
  <c r="M20" i="5" s="1"/>
  <c r="O20" i="5" s="1"/>
  <c r="K21" i="5"/>
  <c r="M21" i="5" s="1"/>
  <c r="O21" i="5" s="1"/>
  <c r="K22" i="5"/>
  <c r="M22" i="5" s="1"/>
  <c r="O22" i="5" s="1"/>
  <c r="K23" i="5"/>
  <c r="M23" i="5" s="1"/>
  <c r="O23" i="5" s="1"/>
  <c r="H11" i="5"/>
  <c r="J11" i="5" s="1"/>
  <c r="H13" i="5"/>
  <c r="J13" i="5" s="1"/>
  <c r="H14" i="5"/>
  <c r="J14" i="5" s="1"/>
  <c r="H15" i="5"/>
  <c r="J15" i="5" s="1"/>
  <c r="H16" i="5"/>
  <c r="J16" i="5" s="1"/>
  <c r="H18" i="5"/>
  <c r="J18" i="5" s="1"/>
  <c r="H20" i="5"/>
  <c r="J20" i="5" s="1"/>
  <c r="H21" i="5"/>
  <c r="J21" i="5" s="1"/>
  <c r="H22" i="5"/>
  <c r="J22" i="5" s="1"/>
  <c r="H23" i="5"/>
  <c r="J23" i="5" s="1"/>
  <c r="P84" i="5" l="1"/>
  <c r="S84" i="5" s="1"/>
  <c r="J60" i="5"/>
  <c r="J43" i="5"/>
  <c r="H43" i="5"/>
  <c r="M43" i="5"/>
  <c r="O43" i="5"/>
  <c r="O60" i="5"/>
  <c r="M60" i="5"/>
  <c r="H60" i="5"/>
  <c r="J71" i="5"/>
  <c r="P71" i="5" s="1"/>
  <c r="S71" i="5" s="1"/>
  <c r="P20" i="5"/>
  <c r="S20" i="5" s="1"/>
  <c r="P23" i="5"/>
  <c r="P13" i="5"/>
  <c r="S13" i="5" s="1"/>
  <c r="P18" i="5"/>
  <c r="S18" i="5" s="1"/>
  <c r="P16" i="5"/>
  <c r="S16" i="5" s="1"/>
  <c r="P15" i="5"/>
  <c r="S15" i="5" s="1"/>
  <c r="P14" i="5"/>
  <c r="S14" i="5" s="1"/>
  <c r="P22" i="5"/>
  <c r="S22" i="5" s="1"/>
  <c r="P21" i="5"/>
  <c r="S21" i="5" s="1"/>
  <c r="S43" i="5" l="1"/>
  <c r="R86" i="5"/>
  <c r="R87" i="5"/>
  <c r="R90" i="5"/>
  <c r="R92" i="5"/>
  <c r="R93" i="5"/>
  <c r="R85" i="5"/>
  <c r="R82" i="5"/>
  <c r="R80" i="5"/>
  <c r="R67" i="5"/>
  <c r="R68" i="5"/>
  <c r="R69" i="5"/>
  <c r="R70" i="5"/>
  <c r="R72" i="5"/>
  <c r="R75" i="5"/>
  <c r="R77" i="5"/>
  <c r="R78" i="5"/>
  <c r="R66" i="5"/>
  <c r="R64" i="5"/>
  <c r="R63" i="5"/>
  <c r="R11" i="5"/>
  <c r="R6" i="5"/>
  <c r="R7" i="5"/>
  <c r="R5" i="5"/>
  <c r="F8" i="5"/>
  <c r="E8" i="5"/>
  <c r="M7" i="5"/>
  <c r="O7" i="5" s="1"/>
  <c r="H7" i="5"/>
  <c r="J7" i="5" s="1"/>
  <c r="M6" i="5"/>
  <c r="O6" i="5" s="1"/>
  <c r="H6" i="5"/>
  <c r="J6" i="5" s="1"/>
  <c r="M5" i="5"/>
  <c r="O5" i="5" s="1"/>
  <c r="H5" i="5"/>
  <c r="J5" i="5" s="1"/>
  <c r="O8" i="5" l="1"/>
  <c r="J8" i="5"/>
  <c r="K8" i="5"/>
  <c r="F25" i="5"/>
  <c r="E25" i="5"/>
  <c r="H8" i="5"/>
  <c r="P7" i="5"/>
  <c r="S7" i="5" s="1"/>
  <c r="P6" i="5"/>
  <c r="S6" i="5" s="1"/>
  <c r="P5" i="5"/>
  <c r="S5" i="5" s="1"/>
  <c r="P8" i="5" l="1"/>
  <c r="K25" i="5"/>
  <c r="I8" i="5"/>
  <c r="S8" i="5"/>
  <c r="G8" i="5"/>
  <c r="F65" i="5" l="1"/>
  <c r="E65" i="5"/>
  <c r="K64" i="5"/>
  <c r="M64" i="5" s="1"/>
  <c r="O64" i="5" s="1"/>
  <c r="H64" i="5"/>
  <c r="J64" i="5" s="1"/>
  <c r="K63" i="5"/>
  <c r="M63" i="5" s="1"/>
  <c r="H63" i="5"/>
  <c r="J63" i="5" s="1"/>
  <c r="K65" i="5" l="1"/>
  <c r="J65" i="5"/>
  <c r="M65" i="5"/>
  <c r="H65" i="5"/>
  <c r="G65" i="5" s="1"/>
  <c r="O63" i="5"/>
  <c r="O65" i="5" s="1"/>
  <c r="P64" i="5"/>
  <c r="S64" i="5" s="1"/>
  <c r="M11" i="5"/>
  <c r="O11" i="5" s="1"/>
  <c r="J24" i="5" l="1"/>
  <c r="H24" i="5"/>
  <c r="L65" i="5"/>
  <c r="N65" i="5"/>
  <c r="M24" i="5"/>
  <c r="I65" i="5"/>
  <c r="P63" i="5"/>
  <c r="P11" i="5"/>
  <c r="S11" i="5" s="1"/>
  <c r="S23" i="5"/>
  <c r="S63" i="5" l="1"/>
  <c r="S65" i="5" s="1"/>
  <c r="I24" i="5"/>
  <c r="J25" i="5"/>
  <c r="O24" i="5"/>
  <c r="G24" i="5"/>
  <c r="H25" i="5"/>
  <c r="P65" i="5"/>
  <c r="I67" i="5"/>
  <c r="L24" i="5" l="1"/>
  <c r="M25" i="5"/>
  <c r="D114" i="5" s="1"/>
  <c r="F61" i="5"/>
  <c r="E61" i="5"/>
  <c r="D115" i="5" l="1"/>
  <c r="G115" i="5" s="1"/>
  <c r="P24" i="5"/>
  <c r="N24" i="5"/>
  <c r="O25" i="5"/>
  <c r="N25" i="5" s="1"/>
  <c r="G25" i="5"/>
  <c r="I25" i="5"/>
  <c r="K61" i="5"/>
  <c r="E79" i="5"/>
  <c r="E83" i="5"/>
  <c r="F83" i="5"/>
  <c r="K83" i="5" l="1"/>
  <c r="S24" i="5"/>
  <c r="S25" i="5" s="1"/>
  <c r="P25" i="5"/>
  <c r="D116" i="5" s="1"/>
  <c r="G116" i="5" s="1"/>
  <c r="E95" i="5"/>
  <c r="L25" i="5"/>
  <c r="E86" i="5"/>
  <c r="F86" i="5" s="1"/>
  <c r="F85" i="5"/>
  <c r="F90" i="5" s="1"/>
  <c r="F70" i="5"/>
  <c r="F68" i="5"/>
  <c r="F66" i="5"/>
  <c r="K93" i="5"/>
  <c r="M93" i="5" s="1"/>
  <c r="O93" i="5" s="1"/>
  <c r="H93" i="5"/>
  <c r="J93" i="5" s="1"/>
  <c r="K92" i="5"/>
  <c r="M92" i="5" s="1"/>
  <c r="O92" i="5" s="1"/>
  <c r="H92" i="5"/>
  <c r="J92" i="5" s="1"/>
  <c r="K82" i="5"/>
  <c r="M82" i="5" s="1"/>
  <c r="O82" i="5" s="1"/>
  <c r="H82" i="5"/>
  <c r="J82" i="5" s="1"/>
  <c r="K80" i="5"/>
  <c r="H80" i="5"/>
  <c r="K60" i="5"/>
  <c r="K43" i="5"/>
  <c r="F94" i="5" l="1"/>
  <c r="K94" i="5" s="1"/>
  <c r="F67" i="5"/>
  <c r="F75" i="5" s="1"/>
  <c r="F79" i="5" s="1"/>
  <c r="K79" i="5" s="1"/>
  <c r="E96" i="5"/>
  <c r="J80" i="5"/>
  <c r="J83" i="5" s="1"/>
  <c r="H83" i="5"/>
  <c r="G83" i="5" s="1"/>
  <c r="M80" i="5"/>
  <c r="M83" i="5" s="1"/>
  <c r="P92" i="5"/>
  <c r="S92" i="5" s="1"/>
  <c r="P93" i="5"/>
  <c r="S93" i="5" s="1"/>
  <c r="P82" i="5"/>
  <c r="S82" i="5" s="1"/>
  <c r="G43" i="5"/>
  <c r="L43" i="5"/>
  <c r="S60" i="5" l="1"/>
  <c r="P60" i="5"/>
  <c r="P43" i="5"/>
  <c r="F95" i="5"/>
  <c r="F96" i="5" s="1"/>
  <c r="L60" i="5"/>
  <c r="M61" i="5"/>
  <c r="G60" i="5"/>
  <c r="H61" i="5"/>
  <c r="O61" i="5"/>
  <c r="J61" i="5"/>
  <c r="O80" i="5"/>
  <c r="O83" i="5" s="1"/>
  <c r="L83" i="5"/>
  <c r="I83" i="5"/>
  <c r="N60" i="5"/>
  <c r="I43" i="5"/>
  <c r="I60" i="5"/>
  <c r="N43" i="5"/>
  <c r="G61" i="5" l="1"/>
  <c r="D118" i="5"/>
  <c r="G118" i="5" s="1"/>
  <c r="D117" i="5"/>
  <c r="G117" i="5" s="1"/>
  <c r="S61" i="5"/>
  <c r="N83" i="5"/>
  <c r="P83" i="5"/>
  <c r="P61" i="5"/>
  <c r="D119" i="5" s="1"/>
  <c r="G119" i="5" s="1"/>
  <c r="I61" i="5"/>
  <c r="N61" i="5"/>
  <c r="L61" i="5"/>
  <c r="P80" i="5"/>
  <c r="S80" i="5" s="1"/>
  <c r="I68" i="5"/>
  <c r="I70" i="5"/>
  <c r="S83" i="5" l="1"/>
  <c r="I90" i="5"/>
  <c r="I72" i="5"/>
  <c r="I87" i="5" s="1"/>
  <c r="I86" i="5" l="1"/>
  <c r="I85" i="5" s="1"/>
  <c r="H70" i="5" l="1"/>
  <c r="K70" i="5"/>
  <c r="M70" i="5" s="1"/>
  <c r="O70" i="5" s="1"/>
  <c r="K72" i="5"/>
  <c r="M72" i="5" s="1"/>
  <c r="O72" i="5" s="1"/>
  <c r="H72" i="5"/>
  <c r="J72" i="5" s="1"/>
  <c r="H75" i="5"/>
  <c r="J75" i="5" s="1"/>
  <c r="K75" i="5"/>
  <c r="H90" i="5"/>
  <c r="J90" i="5" s="1"/>
  <c r="K90" i="5"/>
  <c r="H77" i="5"/>
  <c r="J77" i="5" s="1"/>
  <c r="K77" i="5"/>
  <c r="M77" i="5" s="1"/>
  <c r="O77" i="5" s="1"/>
  <c r="H78" i="5"/>
  <c r="J78" i="5" s="1"/>
  <c r="K78" i="5"/>
  <c r="M78" i="5" s="1"/>
  <c r="O78" i="5" s="1"/>
  <c r="K95" i="5" l="1"/>
  <c r="M75" i="5"/>
  <c r="O75" i="5" s="1"/>
  <c r="P75" i="5" s="1"/>
  <c r="S75" i="5" s="1"/>
  <c r="P77" i="5"/>
  <c r="S77" i="5" s="1"/>
  <c r="P78" i="5"/>
  <c r="S78" i="5" s="1"/>
  <c r="M90" i="5"/>
  <c r="O90" i="5" s="1"/>
  <c r="P90" i="5" s="1"/>
  <c r="S90" i="5" s="1"/>
  <c r="K86" i="5"/>
  <c r="M86" i="5" s="1"/>
  <c r="H67" i="5"/>
  <c r="J67" i="5" s="1"/>
  <c r="H85" i="5"/>
  <c r="P72" i="5"/>
  <c r="S72" i="5" s="1"/>
  <c r="J70" i="5"/>
  <c r="K85" i="5"/>
  <c r="M85" i="5" s="1"/>
  <c r="H66" i="5"/>
  <c r="O85" i="5" l="1"/>
  <c r="J66" i="5"/>
  <c r="H86" i="5"/>
  <c r="J86" i="5" s="1"/>
  <c r="H87" i="5"/>
  <c r="K67" i="5"/>
  <c r="M67" i="5" s="1"/>
  <c r="O67" i="5" s="1"/>
  <c r="P67" i="5" s="1"/>
  <c r="S67" i="5" s="1"/>
  <c r="O86" i="5"/>
  <c r="H68" i="5"/>
  <c r="K68" i="5"/>
  <c r="M68" i="5" s="1"/>
  <c r="J85" i="5"/>
  <c r="P70" i="5"/>
  <c r="S70" i="5" s="1"/>
  <c r="K66" i="5"/>
  <c r="M66" i="5" s="1"/>
  <c r="H94" i="5" l="1"/>
  <c r="G94" i="5" s="1"/>
  <c r="O66" i="5"/>
  <c r="P85" i="5"/>
  <c r="S85" i="5" s="1"/>
  <c r="K87" i="5"/>
  <c r="J87" i="5"/>
  <c r="J94" i="5" s="1"/>
  <c r="O68" i="5"/>
  <c r="J68" i="5"/>
  <c r="P86" i="5"/>
  <c r="S86" i="5" s="1"/>
  <c r="H69" i="5"/>
  <c r="H79" i="5" s="1"/>
  <c r="H95" i="5" l="1"/>
  <c r="M87" i="5"/>
  <c r="K96" i="5"/>
  <c r="D108" i="5" s="1"/>
  <c r="G108" i="5" s="1"/>
  <c r="I94" i="5"/>
  <c r="G79" i="5"/>
  <c r="P66" i="5"/>
  <c r="S66" i="5" s="1"/>
  <c r="P68" i="5"/>
  <c r="S68" i="5" s="1"/>
  <c r="J69" i="5"/>
  <c r="J79" i="5" s="1"/>
  <c r="J95" i="5" s="1"/>
  <c r="K69" i="5"/>
  <c r="M69" i="5" s="1"/>
  <c r="M79" i="5" s="1"/>
  <c r="M94" i="5" l="1"/>
  <c r="L94" i="5" s="1"/>
  <c r="H96" i="5"/>
  <c r="O87" i="5"/>
  <c r="O94" i="5" s="1"/>
  <c r="J96" i="5"/>
  <c r="I79" i="5"/>
  <c r="L79" i="5"/>
  <c r="G95" i="5"/>
  <c r="O69" i="5"/>
  <c r="O79" i="5" s="1"/>
  <c r="M95" i="5" l="1"/>
  <c r="L95" i="5" s="1"/>
  <c r="G96" i="5"/>
  <c r="I96" i="5"/>
  <c r="D120" i="5"/>
  <c r="G120" i="5" s="1"/>
  <c r="D121" i="5"/>
  <c r="G121" i="5" s="1"/>
  <c r="P87" i="5"/>
  <c r="S87" i="5" s="1"/>
  <c r="S94" i="5" s="1"/>
  <c r="M96" i="5"/>
  <c r="D110" i="5" s="1"/>
  <c r="G110" i="5" s="1"/>
  <c r="O95" i="5"/>
  <c r="O96" i="5" s="1"/>
  <c r="P79" i="5"/>
  <c r="N94" i="5"/>
  <c r="P94" i="5"/>
  <c r="I95" i="5"/>
  <c r="N79" i="5"/>
  <c r="P69" i="5"/>
  <c r="S69" i="5" s="1"/>
  <c r="D109" i="5" l="1"/>
  <c r="G109" i="5" s="1"/>
  <c r="L96" i="5"/>
  <c r="P96" i="5"/>
  <c r="D112" i="5" s="1"/>
  <c r="N96" i="5"/>
  <c r="P95" i="5"/>
  <c r="D122" i="5" s="1"/>
  <c r="G122" i="5" s="1"/>
  <c r="N95" i="5"/>
  <c r="S79" i="5"/>
  <c r="S95" i="5" s="1"/>
  <c r="S96" i="5" s="1"/>
  <c r="D111" i="5" l="1"/>
  <c r="G111" i="5" s="1"/>
  <c r="G112" i="5"/>
  <c r="K53" i="3"/>
  <c r="K7" i="3"/>
  <c r="K6" i="3"/>
  <c r="I37" i="1"/>
  <c r="I12" i="1"/>
  <c r="I49" i="1"/>
  <c r="I48" i="1"/>
  <c r="I40" i="1"/>
  <c r="I39" i="1"/>
  <c r="I24" i="1"/>
  <c r="I23" i="1"/>
  <c r="I17" i="1"/>
  <c r="I16" i="1"/>
  <c r="I15" i="1"/>
  <c r="I14" i="1"/>
  <c r="F31" i="1"/>
  <c r="E31" i="1"/>
  <c r="F51" i="1"/>
  <c r="E51" i="1"/>
  <c r="F42" i="1"/>
  <c r="E42" i="1"/>
  <c r="I47" i="1"/>
  <c r="I38" i="1"/>
  <c r="I22" i="1"/>
  <c r="I46" i="1"/>
  <c r="H46" i="1"/>
  <c r="I45" i="1"/>
  <c r="H45" i="1"/>
  <c r="I44" i="1"/>
  <c r="H44" i="1"/>
  <c r="I50" i="1"/>
  <c r="H50" i="1"/>
  <c r="H49" i="1"/>
  <c r="H48" i="1"/>
  <c r="H47" i="1"/>
  <c r="I41" i="1"/>
  <c r="H41" i="1"/>
  <c r="H40" i="1"/>
  <c r="H39" i="1"/>
  <c r="J39" i="1" s="1"/>
  <c r="H38" i="1"/>
  <c r="M41" i="1"/>
  <c r="O41" i="1" s="1"/>
  <c r="M40" i="1"/>
  <c r="O40" i="1" s="1"/>
  <c r="M39" i="1"/>
  <c r="O39" i="1" s="1"/>
  <c r="M38" i="1"/>
  <c r="O38" i="1" s="1"/>
  <c r="M37" i="1"/>
  <c r="O37" i="1" s="1"/>
  <c r="H37" i="1"/>
  <c r="I36" i="1"/>
  <c r="H36" i="1"/>
  <c r="I35" i="1"/>
  <c r="H35" i="1"/>
  <c r="I34" i="1"/>
  <c r="H34" i="1"/>
  <c r="I33" i="1"/>
  <c r="H30" i="1"/>
  <c r="J30" i="1" s="1"/>
  <c r="K30" i="1"/>
  <c r="M30" i="1" s="1"/>
  <c r="O30" i="1" s="1"/>
  <c r="I29" i="1"/>
  <c r="I28" i="1"/>
  <c r="I27" i="1"/>
  <c r="I26" i="1"/>
  <c r="I25" i="1"/>
  <c r="H25" i="1"/>
  <c r="K25" i="1"/>
  <c r="M25" i="1"/>
  <c r="O25" i="1" s="1"/>
  <c r="H24" i="1"/>
  <c r="K24" i="1"/>
  <c r="M24" i="1" s="1"/>
  <c r="O24" i="1" s="1"/>
  <c r="H23" i="1"/>
  <c r="J23" i="1" s="1"/>
  <c r="K26" i="1"/>
  <c r="M26" i="1" s="1"/>
  <c r="O26" i="1" s="1"/>
  <c r="K23" i="1"/>
  <c r="M23" i="1" s="1"/>
  <c r="O23" i="1" s="1"/>
  <c r="K22" i="1"/>
  <c r="M22" i="1" s="1"/>
  <c r="O22" i="1" s="1"/>
  <c r="K21" i="1"/>
  <c r="M21" i="1" s="1"/>
  <c r="O21" i="1" s="1"/>
  <c r="K20" i="1"/>
  <c r="M20" i="1" s="1"/>
  <c r="O20" i="1" s="1"/>
  <c r="K19" i="1"/>
  <c r="M19" i="1" s="1"/>
  <c r="O19" i="1" s="1"/>
  <c r="K18" i="1"/>
  <c r="M18" i="1" s="1"/>
  <c r="O18" i="1" s="1"/>
  <c r="K17" i="1"/>
  <c r="M17" i="1" s="1"/>
  <c r="O17" i="1" s="1"/>
  <c r="K16" i="1"/>
  <c r="M16" i="1" s="1"/>
  <c r="K15" i="1"/>
  <c r="M15" i="1" s="1"/>
  <c r="O15" i="1" s="1"/>
  <c r="K14" i="1"/>
  <c r="M14" i="1" s="1"/>
  <c r="O14" i="1" s="1"/>
  <c r="K13" i="1"/>
  <c r="M13" i="1" s="1"/>
  <c r="O13" i="1" s="1"/>
  <c r="K12" i="1"/>
  <c r="M12" i="1" s="1"/>
  <c r="O12" i="1" s="1"/>
  <c r="K11" i="1"/>
  <c r="M11" i="1" s="1"/>
  <c r="O11" i="1" s="1"/>
  <c r="K10" i="1"/>
  <c r="K9" i="1"/>
  <c r="M9" i="1" s="1"/>
  <c r="K8" i="1"/>
  <c r="M8" i="1" s="1"/>
  <c r="K7" i="1"/>
  <c r="K6" i="1"/>
  <c r="M6" i="1" s="1"/>
  <c r="K5" i="1"/>
  <c r="H22" i="1"/>
  <c r="H21" i="1"/>
  <c r="I21" i="1"/>
  <c r="I20" i="1"/>
  <c r="H20" i="1"/>
  <c r="I19" i="1"/>
  <c r="H19" i="1"/>
  <c r="I18" i="1"/>
  <c r="H18" i="1"/>
  <c r="H17" i="1"/>
  <c r="H16" i="1"/>
  <c r="J16" i="1" s="1"/>
  <c r="I13" i="1"/>
  <c r="J37" i="1"/>
  <c r="I11" i="1"/>
  <c r="I10" i="1"/>
  <c r="N10" i="1"/>
  <c r="N9" i="1"/>
  <c r="N8" i="1"/>
  <c r="I9" i="1"/>
  <c r="I8" i="1"/>
  <c r="N7" i="1"/>
  <c r="N6" i="1"/>
  <c r="N5" i="1"/>
  <c r="I7" i="1"/>
  <c r="H15" i="1"/>
  <c r="H14" i="1"/>
  <c r="J14" i="1" s="1"/>
  <c r="H13" i="1"/>
  <c r="H12" i="1"/>
  <c r="J12" i="1" s="1"/>
  <c r="H11" i="1"/>
  <c r="H10" i="1"/>
  <c r="H9" i="1"/>
  <c r="H8" i="1"/>
  <c r="H7" i="1"/>
  <c r="H6" i="1"/>
  <c r="M10" i="1"/>
  <c r="O10" i="1" s="1"/>
  <c r="M7" i="1"/>
  <c r="O7" i="1" s="1"/>
  <c r="I6" i="1"/>
  <c r="I5" i="1"/>
  <c r="N4" i="1"/>
  <c r="I4" i="1"/>
  <c r="K4" i="1"/>
  <c r="M4" i="1" s="1"/>
  <c r="H4" i="1"/>
  <c r="K44" i="1"/>
  <c r="M44" i="1" s="1"/>
  <c r="O44" i="1" s="1"/>
  <c r="K34" i="1"/>
  <c r="M34" i="1" s="1"/>
  <c r="O34" i="1" s="1"/>
  <c r="M33" i="1"/>
  <c r="O33" i="1" s="1"/>
  <c r="J46" i="1"/>
  <c r="H5" i="1"/>
  <c r="K27" i="1"/>
  <c r="M27" i="1" s="1"/>
  <c r="O27" i="1" s="1"/>
  <c r="H27" i="1"/>
  <c r="J27" i="1" s="1"/>
  <c r="K45" i="1"/>
  <c r="M45" i="1" s="1"/>
  <c r="O45" i="1" s="1"/>
  <c r="K35" i="1"/>
  <c r="M35" i="1" s="1"/>
  <c r="O35" i="1" s="1"/>
  <c r="K46" i="1"/>
  <c r="M46" i="1" s="1"/>
  <c r="O46" i="1" s="1"/>
  <c r="K36" i="1"/>
  <c r="M36" i="1" s="1"/>
  <c r="O36" i="1" s="1"/>
  <c r="H33" i="1"/>
  <c r="K28" i="1"/>
  <c r="M28" i="1" s="1"/>
  <c r="O28" i="1" s="1"/>
  <c r="H26" i="1"/>
  <c r="J26" i="1" s="1"/>
  <c r="M5" i="1"/>
  <c r="K29" i="1"/>
  <c r="M29" i="1" s="1"/>
  <c r="O29" i="1" s="1"/>
  <c r="H29" i="1"/>
  <c r="H28" i="1"/>
  <c r="J22" i="1" l="1"/>
  <c r="J29" i="1"/>
  <c r="J48" i="1"/>
  <c r="P48" i="1" s="1"/>
  <c r="R48" i="1" s="1"/>
  <c r="J21" i="1"/>
  <c r="J15" i="1"/>
  <c r="J5" i="1"/>
  <c r="J10" i="1"/>
  <c r="O8" i="1"/>
  <c r="O5" i="1"/>
  <c r="P5" i="1" s="1"/>
  <c r="R5" i="1" s="1"/>
  <c r="P14" i="1"/>
  <c r="R14" i="1" s="1"/>
  <c r="J13" i="1"/>
  <c r="J40" i="1"/>
  <c r="P40" i="1" s="1"/>
  <c r="R40" i="1" s="1"/>
  <c r="J9" i="1"/>
  <c r="J19" i="1"/>
  <c r="P19" i="1" s="1"/>
  <c r="R19" i="1" s="1"/>
  <c r="J41" i="1"/>
  <c r="P41" i="1" s="1"/>
  <c r="R41" i="1" s="1"/>
  <c r="F52" i="1"/>
  <c r="J47" i="1"/>
  <c r="P47" i="1" s="1"/>
  <c r="R47" i="1" s="1"/>
  <c r="J33" i="1"/>
  <c r="P37" i="1"/>
  <c r="R37" i="1" s="1"/>
  <c r="O4" i="1"/>
  <c r="J17" i="1"/>
  <c r="P17" i="1" s="1"/>
  <c r="R17" i="1" s="1"/>
  <c r="P39" i="1"/>
  <c r="R39" i="1" s="1"/>
  <c r="J28" i="1"/>
  <c r="P28" i="1" s="1"/>
  <c r="R28" i="1" s="1"/>
  <c r="J6" i="1"/>
  <c r="J18" i="1"/>
  <c r="P18" i="1" s="1"/>
  <c r="R18" i="1" s="1"/>
  <c r="J20" i="1"/>
  <c r="O9" i="1"/>
  <c r="P13" i="1"/>
  <c r="R13" i="1" s="1"/>
  <c r="J50" i="1"/>
  <c r="P50" i="1" s="1"/>
  <c r="R50" i="1" s="1"/>
  <c r="J45" i="1"/>
  <c r="P45" i="1" s="1"/>
  <c r="R45" i="1" s="1"/>
  <c r="J7" i="1"/>
  <c r="P7" i="1" s="1"/>
  <c r="R7" i="1" s="1"/>
  <c r="O6" i="1"/>
  <c r="P6" i="1" s="1"/>
  <c r="R6" i="1" s="1"/>
  <c r="P23" i="1"/>
  <c r="R23" i="1" s="1"/>
  <c r="P21" i="1"/>
  <c r="R21" i="1" s="1"/>
  <c r="P10" i="1"/>
  <c r="R10" i="1" s="1"/>
  <c r="P46" i="1"/>
  <c r="R46" i="1" s="1"/>
  <c r="J8" i="1"/>
  <c r="J11" i="1"/>
  <c r="P11" i="1" s="1"/>
  <c r="R11" i="1" s="1"/>
  <c r="J34" i="1"/>
  <c r="J36" i="1"/>
  <c r="P36" i="1" s="1"/>
  <c r="R36" i="1" s="1"/>
  <c r="J44" i="1"/>
  <c r="J49" i="1"/>
  <c r="P49" i="1" s="1"/>
  <c r="R49" i="1" s="1"/>
  <c r="J4" i="1"/>
  <c r="P15" i="1"/>
  <c r="R15" i="1" s="1"/>
  <c r="P22" i="1"/>
  <c r="R22" i="1" s="1"/>
  <c r="E52" i="1"/>
  <c r="K42" i="1"/>
  <c r="P12" i="1"/>
  <c r="R12" i="1" s="1"/>
  <c r="P20" i="1"/>
  <c r="R20" i="1" s="1"/>
  <c r="J35" i="1"/>
  <c r="J38" i="1"/>
  <c r="P38" i="1" s="1"/>
  <c r="R38" i="1" s="1"/>
  <c r="H51" i="1"/>
  <c r="G51" i="1" s="1"/>
  <c r="O16" i="1"/>
  <c r="P16" i="1" s="1"/>
  <c r="R16" i="1" s="1"/>
  <c r="M31" i="1"/>
  <c r="M42" i="1" s="1"/>
  <c r="P27" i="1"/>
  <c r="R27" i="1" s="1"/>
  <c r="P33" i="1"/>
  <c r="R33" i="1" s="1"/>
  <c r="P29" i="1"/>
  <c r="R29" i="1" s="1"/>
  <c r="P9" i="1"/>
  <c r="R9" i="1" s="1"/>
  <c r="P26" i="1"/>
  <c r="R26" i="1" s="1"/>
  <c r="H31" i="1"/>
  <c r="P35" i="1"/>
  <c r="R35" i="1" s="1"/>
  <c r="P30" i="1"/>
  <c r="R30" i="1" s="1"/>
  <c r="O51" i="1"/>
  <c r="H42" i="1"/>
  <c r="G42" i="1" s="1"/>
  <c r="M51" i="1"/>
  <c r="J24" i="1"/>
  <c r="J25" i="1"/>
  <c r="P25" i="1" s="1"/>
  <c r="R25" i="1" s="1"/>
  <c r="P8" i="1" l="1"/>
  <c r="R8" i="1" s="1"/>
  <c r="J51" i="1"/>
  <c r="I51" i="1" s="1"/>
  <c r="J42" i="1"/>
  <c r="P42" i="1" s="1"/>
  <c r="O31" i="1"/>
  <c r="P44" i="1"/>
  <c r="R44" i="1" s="1"/>
  <c r="R51" i="1" s="1"/>
  <c r="P34" i="1"/>
  <c r="R34" i="1" s="1"/>
  <c r="P4" i="1"/>
  <c r="R4" i="1" s="1"/>
  <c r="R31" i="1" s="1"/>
  <c r="M52" i="1"/>
  <c r="P24" i="1"/>
  <c r="R24" i="1" s="1"/>
  <c r="J31" i="1"/>
  <c r="H52" i="1"/>
  <c r="G52" i="1" s="1"/>
  <c r="G31" i="1"/>
  <c r="R42" i="1"/>
  <c r="I42" i="1"/>
  <c r="P51" i="1" l="1"/>
  <c r="P31" i="1"/>
  <c r="O52" i="1"/>
  <c r="R52" i="1"/>
  <c r="P52" i="1"/>
  <c r="J52" i="1"/>
  <c r="I31" i="1"/>
  <c r="P53" i="1" l="1"/>
  <c r="I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Trippe</author>
  </authors>
  <commentList>
    <comment ref="E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</t>
        </r>
      </text>
    </comment>
    <comment ref="F3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E4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F4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E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  <comment ref="F5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</commentList>
</comments>
</file>

<file path=xl/sharedStrings.xml><?xml version="1.0" encoding="utf-8"?>
<sst xmlns="http://schemas.openxmlformats.org/spreadsheetml/2006/main" count="398" uniqueCount="234">
  <si>
    <t>TOTAL</t>
  </si>
  <si>
    <t>Appendix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</si>
  <si>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</si>
  <si>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</si>
  <si>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</si>
  <si>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</si>
  <si>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</si>
  <si>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</si>
  <si>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</si>
  <si>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</si>
  <si>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</si>
  <si>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</si>
  <si>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</si>
  <si>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</si>
  <si>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Hourly Wage Rate</t>
  </si>
  <si>
    <t>Total Annualized Cost of Respondent Burden</t>
  </si>
  <si>
    <t>State Government</t>
  </si>
  <si>
    <t>-</t>
  </si>
  <si>
    <t>Local Government</t>
  </si>
  <si>
    <t>Data Collection assumptions</t>
  </si>
  <si>
    <t>2 Local Directors per state: 1 hour each</t>
  </si>
  <si>
    <t>2 Eligibility workers per state : 1 hour each</t>
  </si>
  <si>
    <t>2 E&amp;T State or intake worker per state: 1 hour each</t>
  </si>
  <si>
    <t>Total individuals</t>
  </si>
  <si>
    <t>Total time</t>
  </si>
  <si>
    <t>Total files</t>
  </si>
  <si>
    <t>Notes</t>
  </si>
  <si>
    <t xml:space="preserve">Email to schedule advance call </t>
  </si>
  <si>
    <t>Advance call to discuss study, answer any questions</t>
  </si>
  <si>
    <t>Thank-you email</t>
  </si>
  <si>
    <t>Instructions and list of variables for caseload administrative data</t>
  </si>
  <si>
    <t>Follow-up consultative call to discuss request and data elements</t>
  </si>
  <si>
    <t>Prepare 1-month test file</t>
  </si>
  <si>
    <t>Call to discuss 1-month test file and data issues</t>
  </si>
  <si>
    <t>Submit administrative data file</t>
  </si>
  <si>
    <t>Revise and re-submit data file as needed</t>
  </si>
  <si>
    <t xml:space="preserve">E&amp;T Provider </t>
  </si>
  <si>
    <t>Thank-you emails to 3 E&amp;T staff</t>
  </si>
  <si>
    <t>Instructions and list of variables for E&amp;T administrative data</t>
  </si>
  <si>
    <t>State, Local, and Tribal government</t>
  </si>
  <si>
    <t xml:space="preserve">State E&amp;T Provider </t>
  </si>
  <si>
    <t>State E&amp;T Provider Database administrator</t>
  </si>
  <si>
    <t>Group mapping exercise with 5 local staff</t>
  </si>
  <si>
    <t xml:space="preserve">Thank-you email </t>
  </si>
  <si>
    <t xml:space="preserve">Business or Other For Profit </t>
  </si>
  <si>
    <t>Business or Other For Profit</t>
  </si>
  <si>
    <t>Not For Profit Sub-Total</t>
  </si>
  <si>
    <t>Business or Other For Profit Sub-Total</t>
  </si>
  <si>
    <t>Not for Profit</t>
  </si>
  <si>
    <t>Instruments and Activities</t>
  </si>
  <si>
    <t>Advance letter</t>
  </si>
  <si>
    <t>Study information sheet</t>
  </si>
  <si>
    <t>State SNAP Staff</t>
  </si>
  <si>
    <t>Local SNAP Office Staff</t>
  </si>
  <si>
    <t>Local SNAP Office staff</t>
  </si>
  <si>
    <t>Pretest interviews with 2 staff at one E&amp;T provider</t>
  </si>
  <si>
    <t xml:space="preserve">Pretest with 1 E&amp;T database staff </t>
  </si>
  <si>
    <t>Pretest for State data</t>
  </si>
  <si>
    <t>State/Local/Tribal Government Sub-Total</t>
  </si>
  <si>
    <r>
      <t xml:space="preserve">Local SNAP Office staff: Average hourly earnings of </t>
    </r>
    <r>
      <rPr>
        <b/>
        <sz val="11"/>
        <color theme="1"/>
        <rFont val="Calibri"/>
        <family val="2"/>
        <scheme val="minor"/>
      </rPr>
      <t xml:space="preserve">Community and Social Service Specialists </t>
    </r>
    <r>
      <rPr>
        <sz val="11"/>
        <color theme="1"/>
        <rFont val="Calibri"/>
        <family val="2"/>
        <scheme val="minor"/>
      </rPr>
      <t>(21-10099): $21.89</t>
    </r>
  </si>
  <si>
    <r>
      <t xml:space="preserve">E&amp;T Provider staff: Average hourly earnings of </t>
    </r>
    <r>
      <rPr>
        <b/>
        <sz val="11"/>
        <color theme="1"/>
        <rFont val="Calibri"/>
        <family val="2"/>
        <scheme val="minor"/>
      </rPr>
      <t xml:space="preserve">Social and Community Service Managers </t>
    </r>
    <r>
      <rPr>
        <sz val="11"/>
        <color theme="1"/>
        <rFont val="Calibri"/>
        <family val="2"/>
        <scheme val="minor"/>
      </rPr>
      <t>(11-9151): $34.07</t>
    </r>
  </si>
  <si>
    <r>
      <t xml:space="preserve">State and E&amp;T Database administrators: Average hourly earnings of </t>
    </r>
    <r>
      <rPr>
        <b/>
        <sz val="11"/>
        <color theme="1"/>
        <rFont val="Calibri"/>
        <family val="2"/>
        <scheme val="minor"/>
      </rPr>
      <t>D</t>
    </r>
    <r>
      <rPr>
        <b/>
        <sz val="8"/>
        <color rgb="FF000000"/>
        <rFont val="Times New Roman"/>
        <family val="1"/>
      </rPr>
      <t>atabase Administrators</t>
    </r>
    <r>
      <rPr>
        <sz val="8"/>
        <color rgb="FF000000"/>
        <rFont val="Times New Roman"/>
        <family val="1"/>
      </rPr>
      <t xml:space="preserve"> (15-1141): $41.89</t>
    </r>
  </si>
  <si>
    <r>
      <t xml:space="preserve">State SNAP Staff: average hourly earnings of workers </t>
    </r>
    <r>
      <rPr>
        <sz val="8"/>
        <color rgb="FF000000"/>
        <rFont val="Times New Roman"/>
        <family val="1"/>
      </rPr>
      <t>in</t>
    </r>
    <r>
      <rPr>
        <b/>
        <sz val="8"/>
        <color rgb="FF000000"/>
        <rFont val="Times New Roman"/>
        <family val="1"/>
      </rPr>
      <t xml:space="preserve"> Management Occupations</t>
    </r>
    <r>
      <rPr>
        <sz val="8"/>
        <color rgb="FF000000"/>
        <rFont val="Times New Roman"/>
        <family val="1"/>
      </rPr>
      <t xml:space="preserve"> (11-0000): $56.74</t>
    </r>
  </si>
  <si>
    <t>**  Source: Bureau of Labor Statistics; May 2016 National Occupational Employment and Wage Estimates; https://www.bls.gov/oes/2016/may/oes_nat.htm</t>
  </si>
  <si>
    <t>State Database Administrator</t>
  </si>
  <si>
    <t>State Database administrator</t>
  </si>
  <si>
    <t xml:space="preserve">Submit administrative data file </t>
  </si>
  <si>
    <t>Business E&amp;T Provider Database administrator</t>
  </si>
  <si>
    <t>Not for Profit E&amp;T Provider Database administrator</t>
  </si>
  <si>
    <t>Pretest with SNAP director and E&amp;T manager in pretest State</t>
  </si>
  <si>
    <t>Pretest in one local office with 2 staff</t>
  </si>
  <si>
    <t xml:space="preserve">Not For Profit </t>
  </si>
  <si>
    <t>2 Local SNAP offices per State: (3 interviews, 1 hour each; 1 mapping for 5 staff, 1.5 hours each) * 2 local offices</t>
  </si>
  <si>
    <t>Email to schedule in-person semi-structured interviews</t>
  </si>
  <si>
    <t>In-person semi-structured interviews with SNAP Directors and E&amp;T Managers</t>
  </si>
  <si>
    <t>In-person semi-structured interviews with 3 E&amp;T provider staff</t>
  </si>
  <si>
    <t>Thank-you emails to 3 E&amp;T provider staff</t>
  </si>
  <si>
    <t>Email to schedule semi-structured interviews with State E&amp;T provider staff</t>
  </si>
  <si>
    <t>In-person semi-structured interviews with 3 staff in 2 sites over 6 States</t>
  </si>
  <si>
    <t>Email to schedule in-person semi-structured interviews and mapping exercise in 2 separate sites over 6 states</t>
  </si>
  <si>
    <t>Email to schedule semi-structured interviews with For Profit E&amp;T provider staff</t>
  </si>
  <si>
    <t>Email to schedule semi-structured interviews with Not For Profit E&amp;T provider staff</t>
  </si>
  <si>
    <t>One-month test file per state: 4 hours each</t>
  </si>
  <si>
    <t xml:space="preserve">Total </t>
  </si>
  <si>
    <t xml:space="preserve">2 observations per state: 1 staff and 1 client each for 1 hour </t>
  </si>
  <si>
    <t>Observations have one staff person and one client and last 1 hour. Staff person did not participate in interviews. Client hours are accounted for below (rows 54 on)</t>
  </si>
  <si>
    <t>Client Observations</t>
  </si>
  <si>
    <t>Total Repsondents</t>
  </si>
  <si>
    <t>Total Time</t>
  </si>
  <si>
    <t>Local Office</t>
  </si>
  <si>
    <t>2 local offices and one observation in each office with one client</t>
  </si>
  <si>
    <t>State E&amp;T provider</t>
  </si>
  <si>
    <t>One observation in each location with one client</t>
  </si>
  <si>
    <t>Not for profit provider</t>
  </si>
  <si>
    <t>For Profit Provider</t>
  </si>
  <si>
    <t>Total</t>
  </si>
  <si>
    <t>Individuals</t>
  </si>
  <si>
    <t>Total:</t>
  </si>
  <si>
    <t>Site visits to Four States</t>
  </si>
  <si>
    <t>State SNAP Agency: 1 interviews, 1.5 hours</t>
  </si>
  <si>
    <t>1 SNAP Director per State: 1.5 hour</t>
  </si>
  <si>
    <t>1 State E&amp;T Director per State:  1.5 hour</t>
  </si>
  <si>
    <t>2 Group mapping exercises per state: 5 staff each for 2 hours each</t>
  </si>
  <si>
    <t>Assumes 1 one-on-one director interview and 2 group interviews with one eligibiltiy and one E&amp;T worker at each local office</t>
  </si>
  <si>
    <t>Assumes each observation has one eligibility worker and one client. Eligibility worker not in interview. Client burden accounted for in individual row</t>
  </si>
  <si>
    <t>2 E&amp;T Providers per State (3 interviews, 1 hour each) * 3 E&amp;T providers; (assume 3 nonprofit, 2 for profit, 3 state/local E&amp;T provider total)</t>
  </si>
  <si>
    <t xml:space="preserve">3 Nonprofit </t>
  </si>
  <si>
    <t>2 For Profit</t>
  </si>
  <si>
    <t>3 state/local</t>
  </si>
  <si>
    <t>2 E&amp;T provider directors per state: 1 hour each</t>
  </si>
  <si>
    <t>3 Nonprofit</t>
  </si>
  <si>
    <t>4 E&amp;T provider case managers per state: 1 hour each</t>
  </si>
  <si>
    <t>4 E&amp;T provider career advisors per state: 1 hour each</t>
  </si>
  <si>
    <t>Assumes 2 one-on-one interviews with directors per state. Assumes 2 two-on-one interviews with case manages and career advisors per state</t>
  </si>
  <si>
    <t>2 E&amp;T Observations per state: 1 hour each</t>
  </si>
  <si>
    <t>Administrative SNAP data from 4 States</t>
  </si>
  <si>
    <t>1 State caseload data file per state: 8 hours each</t>
  </si>
  <si>
    <t>Assume 2 of the 4 states need to resubmit: 2 hour each</t>
  </si>
  <si>
    <t>UI Wage Data from 4 States</t>
  </si>
  <si>
    <t>Total Files</t>
  </si>
  <si>
    <t>DUAs with 4 : 8 hours each</t>
  </si>
  <si>
    <t>1 UI wage data file per State: 10 hour each</t>
  </si>
  <si>
    <t>Assumes each mapping exercise has 5 individuals</t>
  </si>
  <si>
    <t>Type of Respondent</t>
  </si>
  <si>
    <t>Number of Respondents</t>
  </si>
  <si>
    <t>Frequency of Response</t>
  </si>
  <si>
    <t>Total Annual Responses</t>
  </si>
  <si>
    <t>Hours per Response</t>
  </si>
  <si>
    <t>Annual Burden (Hours)</t>
  </si>
  <si>
    <t>Number of 
Nonrespondents</t>
  </si>
  <si>
    <t>Grand Total Annual Burden Estimate (Hours)</t>
  </si>
  <si>
    <t>Nonresponsive</t>
  </si>
  <si>
    <t>Table 1. Total Public Burden Hours and Respondent Costs</t>
  </si>
  <si>
    <t>Business or other for profit subtotal (unique)</t>
  </si>
  <si>
    <t>Area probability participant subtotal (unique)</t>
  </si>
  <si>
    <t>Area probability sample</t>
  </si>
  <si>
    <t xml:space="preserve">In-depth interview </t>
  </si>
  <si>
    <t>Public agencies, such as human services, education, and healthcare: average hourly earnings of workers in Management Occupations (11-0000): $60.81</t>
  </si>
  <si>
    <t>Low-income individuals/NAP participants: Federal minimum wage rate $7.25</t>
  </si>
  <si>
    <t>U.S. Department of Labor, Wage and Hour Division. (2021). State Minimum Wage Laws. https://www.dol.gov/agencies/whd/minimum-wage/state#pr</t>
  </si>
  <si>
    <t>Sources:</t>
  </si>
  <si>
    <t>Note:</t>
  </si>
  <si>
    <t>Local organization recruitment</t>
  </si>
  <si>
    <t>Local organization recruitment subtotal (unique)</t>
  </si>
  <si>
    <t>NAP sample</t>
  </si>
  <si>
    <t>NAP sample subtotal (unique)</t>
  </si>
  <si>
    <t>All Individuals subtotal (unique)</t>
  </si>
  <si>
    <t>Survey of health and community well-being</t>
  </si>
  <si>
    <t>Concept map: Summary of prioritization and sorting results</t>
  </si>
  <si>
    <t xml:space="preserve"> Human services, education, and healthcare agency staff</t>
  </si>
  <si>
    <t>Private business and academia staff</t>
  </si>
  <si>
    <t>Advocacy organization, human service provider staff</t>
  </si>
  <si>
    <t>Business and Nonprofit Organizations</t>
  </si>
  <si>
    <t>Nonprofit Organizations</t>
  </si>
  <si>
    <t>Nonprofit organizations subtotal (unique)</t>
  </si>
  <si>
    <t xml:space="preserve">Survey of health and community well-being </t>
  </si>
  <si>
    <t>Concept map: Advance materials for second virtual meeting</t>
  </si>
  <si>
    <t>Pretest: In-depth interview protocol</t>
  </si>
  <si>
    <t>Pretest: Survey instrument</t>
  </si>
  <si>
    <t>Pretest participants</t>
  </si>
  <si>
    <t>ADSEF staff</t>
  </si>
  <si>
    <t>Call with ADSEF</t>
  </si>
  <si>
    <t>Preparations and sending data</t>
  </si>
  <si>
    <t>ADSEF staff subtotal (unique)</t>
  </si>
  <si>
    <t>Human services, education, and healthcare subtotal (unique)</t>
  </si>
  <si>
    <t>Hourly Wage Rate + 33% Benefits</t>
  </si>
  <si>
    <t>Puerto Rico Government</t>
  </si>
  <si>
    <t>Business and nonprofit organizations subtotal (unique)</t>
  </si>
  <si>
    <t>Private businesses, such as agribusiness and food retailers; academia, such as nutritionists, economists, and political scientists: average hourly earnings of Life, physical, and social science occupations (19-0000): $38.15</t>
  </si>
  <si>
    <t>Advocacy organizations, such as neighborhood associations, civic groups, and the faith community; human service providers, such as food banks, workforce development organizations, and community action agencies: average hourly earnings of Community and Social Service Occupations (21-0000): $25.09</t>
  </si>
  <si>
    <t>Concept map: Recruitment</t>
  </si>
  <si>
    <t>Survey: Recruitment</t>
  </si>
  <si>
    <t>In-depth interview: Recruitment</t>
  </si>
  <si>
    <t>In-depth interview</t>
  </si>
  <si>
    <t>Activity</t>
  </si>
  <si>
    <t>Concept map: Advance materials for first meeting</t>
  </si>
  <si>
    <t>Concept map: First meeting</t>
  </si>
  <si>
    <t>Concept map: Second meeting</t>
  </si>
  <si>
    <t>Preparations and receiving data from ADSEF</t>
  </si>
  <si>
    <t>J.1. Email to ADSEF</t>
  </si>
  <si>
    <t>J.2. Agenda for Meeting with ADSEF</t>
  </si>
  <si>
    <t>J.3. Instructions for Using SFTP Site</t>
  </si>
  <si>
    <t>E.1/E.2. In-depth Interview Protocol</t>
  </si>
  <si>
    <t>C.1-C.2/D.2-D.2. Household Survey Instrument</t>
  </si>
  <si>
    <t>Total Respondent + Nonrespondent:</t>
  </si>
  <si>
    <t>Number of responses per respondent</t>
  </si>
  <si>
    <t>Total responses</t>
  </si>
  <si>
    <t>Total annual burden hours</t>
  </si>
  <si>
    <t>Number of responses per PR govt respt</t>
  </si>
  <si>
    <t>Total PR govt responses</t>
  </si>
  <si>
    <t>Number of responses per business respt</t>
  </si>
  <si>
    <t>Total business responses</t>
  </si>
  <si>
    <t>Number of responses per individual respt</t>
  </si>
  <si>
    <t>Total individual responses</t>
  </si>
  <si>
    <t>Puerto Rico Government subtotal (unique)</t>
  </si>
  <si>
    <t>Pretest participants subtotal (unique)</t>
  </si>
  <si>
    <t>C.1-C.2/D.1-D.2. Household Survey Instrument</t>
  </si>
  <si>
    <t>G.1./G.12. First Survey Invitation Letter for NAP Participant List Sample</t>
  </si>
  <si>
    <t>G.2/G.13. Reminder Postcard for NAP Participant List Sample</t>
  </si>
  <si>
    <t>G.3/G.14. Invitation Letter With Mail Survey for NAP Participant List Sample</t>
  </si>
  <si>
    <t>G.4/G.15. Recording for Inbound Calls to Schedule Survey</t>
  </si>
  <si>
    <t>G.5./G.16. Return Call to Schedule Survey</t>
  </si>
  <si>
    <t>G.6./G.17. Script for Telephone Nonresponse Follow-Up for NAP Participant List Sample</t>
  </si>
  <si>
    <t>G.11/G.22. Thank you Letter for Survey Participants</t>
  </si>
  <si>
    <t>Phone Script for In-Depth Interview Recruitment: EITHER: I.1./I.4. Voicemail Script for In-Depth Interview Recruitment OR I.2./I.5. Script for Answered Call</t>
  </si>
  <si>
    <t>G.7/G.18. Invitation Letter for Area Probability Sample (In-Person Delivery) (includes time to read G.8/G.19. Script for Data Collectors for Area Probability Sample (In-Person Delivery))</t>
  </si>
  <si>
    <t>I.3./I.6. Study Announcement for Local Community Partners</t>
  </si>
  <si>
    <t>G.9./G.20. Text for Website (Home Page)</t>
  </si>
  <si>
    <t xml:space="preserve">G.10./G.21. FAQ Document </t>
  </si>
  <si>
    <t>U.S. Department of Labor, U.S. Bureau of Labor Statistics. (2021). Occupational Employment and Wage Statistics: May 2021 Occupation Profiles. https://www.bls.gov/oes/current/oes_stru.htm</t>
  </si>
  <si>
    <t>Estimated time per response</t>
  </si>
  <si>
    <t>Estimated time per PR govt resp</t>
  </si>
  <si>
    <t>Estimated time per business resp</t>
  </si>
  <si>
    <t>Estimated time per individual resp</t>
  </si>
  <si>
    <t>change</t>
  </si>
  <si>
    <t>Property managers</t>
  </si>
  <si>
    <t>U.1/U.2 Introductory letter for property managers</t>
  </si>
  <si>
    <t>K.1./K.3. Concept Mapping Recruitment Email</t>
  </si>
  <si>
    <t>K.5/K.6. Recruitment Follow-Up Email for Concept Map Meeting</t>
  </si>
  <si>
    <t xml:space="preserve">K.2./K.4. Concept Mapping Informed Consent </t>
  </si>
  <si>
    <t>F.5.1./F.15.1. Brainstorming Instructions</t>
  </si>
  <si>
    <t>F.6.1./F.16.1. Sorting and Rating Instructions</t>
  </si>
  <si>
    <t>F.1./F.11. Welcome and Scheduling Email</t>
  </si>
  <si>
    <t>F.2./F.12. Reminder Email for First Meeting</t>
  </si>
  <si>
    <t>F.3./F.13. Advance Material for First Meeting</t>
  </si>
  <si>
    <t>F.4./F.14 First Meeting Facilitator Guide</t>
  </si>
  <si>
    <t>F.5./F.15. Additional Ideas Email</t>
  </si>
  <si>
    <t>F.6./F.16. Instructions for Sorting and Rating Email</t>
  </si>
  <si>
    <t>F.7./F.17. Second Meeting Scheduling Email</t>
  </si>
  <si>
    <t>F.8./F.18. Reminder Email for Second Meeting</t>
  </si>
  <si>
    <t>F.9./F.19. Advance Material for Second Meeting</t>
  </si>
  <si>
    <t>F.10./F.20. Second Meeting Facilitator Guide</t>
  </si>
  <si>
    <t>updated January 2024</t>
  </si>
  <si>
    <t>approved (May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</si>
</sst>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&quot;$&quot;* #,##0_);_(&quot;$&quot;* \(#,##0\);_(&quot;$&quot;* &quot;-&quot;??_);_(@_)"/>
    <numFmt numFmtId="168" formatCode="&quot;$&quot;#,##0"/>
    <numFmt numFmtId="169" formatCode="&quot;$&quot;#,##0.00"/>
    <numFmt numFmtId="170" formatCode="0.0000"/>
    <numFmt numFmtId="171" formatCode="0.00000000"/>
    <numFmt numFmtId="172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44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2" fillId="0" borderId="4" xfId="0" applyFont="1" applyBorder="1" applyAlignment="1">
      <alignment textRotation="90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/>
    <xf numFmtId="0" fontId="3" fillId="0" borderId="7" xfId="0" applyFont="1" applyBorder="1" applyAlignment="1">
      <alignment wrapText="1"/>
    </xf>
    <xf numFmtId="0" fontId="2" fillId="0" borderId="9" xfId="0" applyFont="1" applyBorder="1" applyAlignment="1">
      <alignment wrapText="1" readingOrder="1"/>
    </xf>
    <xf numFmtId="0" fontId="2" fillId="0" borderId="10" xfId="0" applyFont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 readingOrder="1"/>
    </xf>
    <xf numFmtId="3" fontId="3" fillId="0" borderId="15" xfId="0" applyNumberFormat="1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textRotation="90" wrapText="1" readingOrder="1"/>
    </xf>
    <xf numFmtId="0" fontId="1" fillId="0" borderId="8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 readingOrder="1"/>
    </xf>
    <xf numFmtId="3" fontId="3" fillId="0" borderId="18" xfId="0" applyNumberFormat="1" applyFont="1" applyBorder="1" applyAlignment="1">
      <alignment wrapText="1"/>
    </xf>
    <xf numFmtId="0" fontId="3" fillId="0" borderId="18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3" fillId="0" borderId="8" xfId="0" applyNumberFormat="1" applyFont="1" applyBorder="1" applyAlignment="1">
      <alignment horizontal="right" wrapText="1"/>
    </xf>
    <xf numFmtId="0" fontId="2" fillId="0" borderId="20" xfId="0" applyFont="1" applyBorder="1" applyAlignment="1">
      <alignment horizontal="center" wrapText="1" readingOrder="1"/>
    </xf>
    <xf numFmtId="0" fontId="3" fillId="0" borderId="21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3" fillId="0" borderId="24" xfId="0" applyFont="1" applyBorder="1"/>
    <xf numFmtId="0" fontId="0" fillId="0" borderId="4" xfId="0" applyBorder="1"/>
    <xf numFmtId="44" fontId="3" fillId="0" borderId="7" xfId="1" applyFont="1" applyBorder="1" applyAlignment="1">
      <alignment horizontal="center"/>
    </xf>
    <xf numFmtId="44" fontId="3" fillId="0" borderId="8" xfId="0" applyNumberFormat="1" applyFont="1" applyBorder="1"/>
    <xf numFmtId="0" fontId="5" fillId="0" borderId="12" xfId="0" applyFont="1" applyBorder="1" applyAlignment="1">
      <alignment wrapText="1"/>
    </xf>
    <xf numFmtId="0" fontId="1" fillId="2" borderId="31" xfId="0" applyFont="1" applyFill="1" applyBorder="1" applyAlignment="1">
      <alignment wrapText="1"/>
    </xf>
    <xf numFmtId="3" fontId="3" fillId="2" borderId="0" xfId="0" applyNumberFormat="1" applyFont="1" applyFill="1" applyAlignment="1">
      <alignment wrapText="1"/>
    </xf>
    <xf numFmtId="2" fontId="3" fillId="2" borderId="30" xfId="0" applyNumberFormat="1" applyFont="1" applyFill="1" applyBorder="1" applyAlignment="1">
      <alignment horizontal="center" wrapText="1"/>
    </xf>
    <xf numFmtId="3" fontId="3" fillId="2" borderId="30" xfId="0" applyNumberFormat="1" applyFont="1" applyFill="1" applyBorder="1" applyAlignment="1">
      <alignment horizontal="right" wrapText="1"/>
    </xf>
    <xf numFmtId="164" fontId="3" fillId="2" borderId="30" xfId="0" applyNumberFormat="1" applyFont="1" applyFill="1" applyBorder="1" applyAlignment="1">
      <alignment horizontal="right" wrapText="1"/>
    </xf>
    <xf numFmtId="3" fontId="3" fillId="2" borderId="31" xfId="0" applyNumberFormat="1" applyFont="1" applyFill="1" applyBorder="1" applyAlignment="1">
      <alignment horizontal="right" wrapText="1"/>
    </xf>
    <xf numFmtId="3" fontId="3" fillId="2" borderId="32" xfId="0" applyNumberFormat="1" applyFont="1" applyFill="1" applyBorder="1" applyAlignment="1">
      <alignment wrapText="1"/>
    </xf>
    <xf numFmtId="2" fontId="3" fillId="2" borderId="30" xfId="0" applyNumberFormat="1" applyFont="1" applyFill="1" applyBorder="1" applyAlignment="1">
      <alignment horizontal="right" wrapText="1"/>
    </xf>
    <xf numFmtId="44" fontId="3" fillId="2" borderId="26" xfId="1" applyFont="1" applyFill="1" applyBorder="1" applyAlignment="1">
      <alignment horizontal="center"/>
    </xf>
    <xf numFmtId="0" fontId="2" fillId="0" borderId="27" xfId="0" applyFont="1" applyBorder="1" applyAlignment="1">
      <alignment textRotation="90" wrapText="1"/>
    </xf>
    <xf numFmtId="0" fontId="2" fillId="0" borderId="28" xfId="0" applyFont="1" applyBorder="1" applyAlignment="1">
      <alignment wrapText="1"/>
    </xf>
    <xf numFmtId="0" fontId="2" fillId="0" borderId="28" xfId="0" applyFont="1" applyBorder="1" applyAlignment="1">
      <alignment horizontal="left" wrapText="1"/>
    </xf>
    <xf numFmtId="164" fontId="2" fillId="0" borderId="28" xfId="0" applyNumberFormat="1" applyFont="1" applyBorder="1" applyAlignment="1">
      <alignment horizontal="center" wrapText="1"/>
    </xf>
    <xf numFmtId="3" fontId="2" fillId="0" borderId="28" xfId="0" applyNumberFormat="1" applyFont="1" applyBorder="1" applyAlignment="1">
      <alignment wrapText="1"/>
    </xf>
    <xf numFmtId="0" fontId="0" fillId="0" borderId="27" xfId="0" applyBorder="1"/>
    <xf numFmtId="0" fontId="2" fillId="0" borderId="29" xfId="0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3" fontId="2" fillId="0" borderId="27" xfId="0" applyNumberFormat="1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1" fillId="0" borderId="43" xfId="0" applyFont="1" applyBorder="1" applyAlignment="1">
      <alignment wrapText="1"/>
    </xf>
    <xf numFmtId="3" fontId="3" fillId="0" borderId="44" xfId="0" applyNumberFormat="1" applyFont="1" applyBorder="1" applyAlignment="1">
      <alignment wrapText="1"/>
    </xf>
    <xf numFmtId="3" fontId="3" fillId="0" borderId="25" xfId="0" applyNumberFormat="1" applyFont="1" applyBorder="1" applyAlignment="1">
      <alignment wrapText="1"/>
    </xf>
    <xf numFmtId="0" fontId="3" fillId="0" borderId="42" xfId="0" applyFont="1" applyBorder="1" applyAlignment="1">
      <alignment horizontal="center" wrapText="1"/>
    </xf>
    <xf numFmtId="3" fontId="3" fillId="0" borderId="42" xfId="0" applyNumberFormat="1" applyFont="1" applyBorder="1" applyAlignment="1">
      <alignment horizontal="right" wrapText="1"/>
    </xf>
    <xf numFmtId="2" fontId="3" fillId="0" borderId="4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wrapText="1"/>
    </xf>
    <xf numFmtId="0" fontId="3" fillId="0" borderId="46" xfId="0" applyFont="1" applyBorder="1" applyAlignment="1">
      <alignment horizontal="right" wrapText="1"/>
    </xf>
    <xf numFmtId="0" fontId="8" fillId="0" borderId="3" xfId="0" applyFont="1" applyBorder="1" applyAlignment="1">
      <alignment vertical="center" wrapText="1"/>
    </xf>
    <xf numFmtId="165" fontId="3" fillId="0" borderId="8" xfId="0" applyNumberFormat="1" applyFont="1" applyBorder="1" applyAlignment="1">
      <alignment horizontal="right" wrapText="1"/>
    </xf>
    <xf numFmtId="165" fontId="3" fillId="0" borderId="21" xfId="0" applyNumberFormat="1" applyFont="1" applyBorder="1" applyAlignment="1">
      <alignment horizontal="right" wrapText="1"/>
    </xf>
    <xf numFmtId="165" fontId="3" fillId="0" borderId="24" xfId="0" applyNumberFormat="1" applyFont="1" applyBorder="1"/>
    <xf numFmtId="44" fontId="3" fillId="0" borderId="7" xfId="1" applyFont="1" applyFill="1" applyBorder="1" applyAlignment="1"/>
    <xf numFmtId="167" fontId="3" fillId="0" borderId="8" xfId="0" applyNumberFormat="1" applyFont="1" applyBorder="1"/>
    <xf numFmtId="166" fontId="3" fillId="0" borderId="24" xfId="0" applyNumberFormat="1" applyFont="1" applyBorder="1"/>
    <xf numFmtId="1" fontId="3" fillId="0" borderId="24" xfId="0" applyNumberFormat="1" applyFont="1" applyBorder="1"/>
    <xf numFmtId="167" fontId="0" fillId="2" borderId="31" xfId="0" applyNumberFormat="1" applyFill="1" applyBorder="1"/>
    <xf numFmtId="1" fontId="3" fillId="2" borderId="30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0" fillId="0" borderId="0" xfId="0" applyNumberFormat="1"/>
    <xf numFmtId="1" fontId="3" fillId="2" borderId="33" xfId="0" applyNumberFormat="1" applyFont="1" applyFill="1" applyBorder="1"/>
    <xf numFmtId="168" fontId="2" fillId="0" borderId="3" xfId="0" applyNumberFormat="1" applyFont="1" applyBorder="1" applyAlignment="1">
      <alignment wrapText="1"/>
    </xf>
    <xf numFmtId="0" fontId="2" fillId="4" borderId="9" xfId="0" applyFont="1" applyFill="1" applyBorder="1" applyAlignment="1">
      <alignment horizontal="center" wrapText="1" readingOrder="1"/>
    </xf>
    <xf numFmtId="0" fontId="2" fillId="4" borderId="10" xfId="0" applyFont="1" applyFill="1" applyBorder="1" applyAlignment="1">
      <alignment horizontal="center" wrapText="1" readingOrder="1"/>
    </xf>
    <xf numFmtId="0" fontId="2" fillId="4" borderId="11" xfId="0" applyFont="1" applyFill="1" applyBorder="1" applyAlignment="1">
      <alignment horizontal="center" wrapText="1" readingOrder="1"/>
    </xf>
    <xf numFmtId="1" fontId="3" fillId="0" borderId="47" xfId="0" applyNumberFormat="1" applyFont="1" applyBorder="1"/>
    <xf numFmtId="3" fontId="3" fillId="2" borderId="2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165" fontId="3" fillId="2" borderId="31" xfId="0" applyNumberFormat="1" applyFont="1" applyFill="1" applyBorder="1" applyAlignment="1">
      <alignment horizontal="right" wrapText="1"/>
    </xf>
    <xf numFmtId="165" fontId="2" fillId="0" borderId="3" xfId="0" applyNumberFormat="1" applyFont="1" applyBorder="1" applyAlignment="1">
      <alignment wrapText="1"/>
    </xf>
    <xf numFmtId="165" fontId="3" fillId="2" borderId="30" xfId="0" applyNumberFormat="1" applyFont="1" applyFill="1" applyBorder="1" applyAlignment="1">
      <alignment horizontal="right" wrapText="1"/>
    </xf>
    <xf numFmtId="166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wrapText="1"/>
    </xf>
    <xf numFmtId="166" fontId="3" fillId="2" borderId="30" xfId="0" applyNumberFormat="1" applyFont="1" applyFill="1" applyBorder="1" applyAlignment="1">
      <alignment horizontal="right" wrapText="1"/>
    </xf>
    <xf numFmtId="165" fontId="3" fillId="0" borderId="42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wrapText="1"/>
    </xf>
    <xf numFmtId="166" fontId="3" fillId="0" borderId="8" xfId="0" applyNumberFormat="1" applyFont="1" applyBorder="1" applyAlignment="1">
      <alignment horizontal="right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vertical="center"/>
    </xf>
    <xf numFmtId="0" fontId="0" fillId="0" borderId="0" xfId="0" applyAlignment="1">
      <alignment horizontal="center" vertical="center" readingOrder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0" xfId="0" applyAlignment="1">
      <alignment horizontal="left"/>
    </xf>
    <xf numFmtId="0" fontId="16" fillId="6" borderId="0" xfId="0" applyFont="1" applyFill="1"/>
    <xf numFmtId="0" fontId="18" fillId="7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16" fillId="5" borderId="0" xfId="0" applyFont="1" applyFill="1"/>
    <xf numFmtId="166" fontId="0" fillId="0" borderId="32" xfId="0" applyNumberFormat="1" applyBorder="1"/>
    <xf numFmtId="2" fontId="0" fillId="0" borderId="0" xfId="0" applyNumberFormat="1"/>
    <xf numFmtId="2" fontId="0" fillId="0" borderId="0" xfId="0" applyNumberFormat="1" applyAlignment="1">
      <alignment horizontal="right" wrapText="1"/>
    </xf>
    <xf numFmtId="0" fontId="0" fillId="0" borderId="48" xfId="0" applyBorder="1" applyAlignment="1">
      <alignment horizontal="right"/>
    </xf>
    <xf numFmtId="166" fontId="0" fillId="0" borderId="48" xfId="0" applyNumberFormat="1" applyBorder="1" applyAlignment="1">
      <alignment horizontal="right"/>
    </xf>
    <xf numFmtId="3" fontId="16" fillId="0" borderId="48" xfId="0" applyNumberFormat="1" applyFont="1" applyBorder="1" applyAlignment="1">
      <alignment horizontal="right"/>
    </xf>
    <xf numFmtId="0" fontId="0" fillId="0" borderId="0" xfId="0" applyAlignment="1">
      <alignment horizontal="left" indent="1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37" xfId="0" applyBorder="1"/>
    <xf numFmtId="0" fontId="0" fillId="0" borderId="67" xfId="0" applyBorder="1"/>
    <xf numFmtId="0" fontId="6" fillId="0" borderId="0" xfId="0" applyFont="1" applyAlignment="1">
      <alignment horizontal="left" indent="2"/>
    </xf>
    <xf numFmtId="0" fontId="19" fillId="0" borderId="50" xfId="0" applyFont="1" applyBorder="1"/>
    <xf numFmtId="166" fontId="0" fillId="0" borderId="0" xfId="0" applyNumberFormat="1"/>
    <xf numFmtId="0" fontId="19" fillId="0" borderId="0" xfId="0" applyFont="1"/>
    <xf numFmtId="0" fontId="18" fillId="0" borderId="0" xfId="0" applyFont="1" applyAlignment="1">
      <alignment vertical="center"/>
    </xf>
    <xf numFmtId="1" fontId="19" fillId="0" borderId="50" xfId="0" applyNumberFormat="1" applyFont="1" applyBorder="1"/>
    <xf numFmtId="1" fontId="0" fillId="0" borderId="48" xfId="0" applyNumberFormat="1" applyBorder="1" applyAlignment="1">
      <alignment horizontal="right"/>
    </xf>
    <xf numFmtId="1" fontId="0" fillId="0" borderId="0" xfId="0" applyNumberFormat="1"/>
    <xf numFmtId="1" fontId="0" fillId="0" borderId="2" xfId="0" applyNumberFormat="1" applyBorder="1"/>
    <xf numFmtId="43" fontId="0" fillId="0" borderId="0" xfId="3" applyFont="1" applyFill="1" applyBorder="1" applyAlignment="1"/>
    <xf numFmtId="169" fontId="19" fillId="0" borderId="50" xfId="0" applyNumberFormat="1" applyFont="1" applyBorder="1"/>
    <xf numFmtId="169" fontId="0" fillId="0" borderId="0" xfId="0" applyNumberFormat="1" applyAlignment="1">
      <alignment horizontal="right"/>
    </xf>
    <xf numFmtId="169" fontId="0" fillId="0" borderId="0" xfId="0" applyNumberFormat="1"/>
    <xf numFmtId="0" fontId="16" fillId="0" borderId="75" xfId="0" applyFont="1" applyBorder="1"/>
    <xf numFmtId="0" fontId="20" fillId="0" borderId="0" xfId="0" applyFont="1"/>
    <xf numFmtId="0" fontId="0" fillId="0" borderId="0" xfId="0" applyAlignment="1">
      <alignment vertical="center"/>
    </xf>
    <xf numFmtId="1" fontId="2" fillId="0" borderId="89" xfId="0" applyNumberFormat="1" applyFont="1" applyBorder="1" applyAlignment="1">
      <alignment horizontal="center" vertical="center" wrapText="1" readingOrder="1"/>
    </xf>
    <xf numFmtId="0" fontId="2" fillId="0" borderId="90" xfId="0" applyFont="1" applyBorder="1" applyAlignment="1">
      <alignment horizontal="center" vertical="center" wrapText="1" readingOrder="1"/>
    </xf>
    <xf numFmtId="0" fontId="2" fillId="0" borderId="100" xfId="0" applyFont="1" applyBorder="1" applyAlignment="1">
      <alignment horizontal="center" vertical="center" wrapText="1" readingOrder="1"/>
    </xf>
    <xf numFmtId="0" fontId="2" fillId="0" borderId="89" xfId="0" applyFont="1" applyBorder="1" applyAlignment="1">
      <alignment horizontal="center" vertical="center" wrapText="1" readingOrder="1"/>
    </xf>
    <xf numFmtId="166" fontId="2" fillId="0" borderId="100" xfId="0" applyNumberFormat="1" applyFont="1" applyBorder="1" applyAlignment="1">
      <alignment horizontal="center" vertical="center" wrapText="1" readingOrder="1"/>
    </xf>
    <xf numFmtId="1" fontId="3" fillId="0" borderId="62" xfId="0" applyNumberFormat="1" applyFont="1" applyBorder="1" applyAlignment="1">
      <alignment horizontal="right" vertical="center" wrapText="1"/>
    </xf>
    <xf numFmtId="169" fontId="3" fillId="0" borderId="62" xfId="1" applyNumberFormat="1" applyFont="1" applyFill="1" applyBorder="1" applyAlignment="1">
      <alignment horizontal="right" vertical="center"/>
    </xf>
    <xf numFmtId="169" fontId="3" fillId="0" borderId="69" xfId="0" applyNumberFormat="1" applyFont="1" applyBorder="1" applyAlignment="1">
      <alignment horizontal="right" vertical="center"/>
    </xf>
    <xf numFmtId="1" fontId="3" fillId="0" borderId="56" xfId="0" applyNumberFormat="1" applyFont="1" applyBorder="1" applyAlignment="1">
      <alignment horizontal="right" vertical="center" wrapText="1"/>
    </xf>
    <xf numFmtId="169" fontId="3" fillId="0" borderId="56" xfId="1" applyNumberFormat="1" applyFont="1" applyFill="1" applyBorder="1" applyAlignment="1">
      <alignment horizontal="right" vertical="center"/>
    </xf>
    <xf numFmtId="169" fontId="3" fillId="0" borderId="70" xfId="0" applyNumberFormat="1" applyFont="1" applyBorder="1" applyAlignment="1">
      <alignment horizontal="right" vertical="center"/>
    </xf>
    <xf numFmtId="1" fontId="3" fillId="0" borderId="58" xfId="0" applyNumberFormat="1" applyFont="1" applyBorder="1" applyAlignment="1">
      <alignment horizontal="right" vertical="center" wrapText="1"/>
    </xf>
    <xf numFmtId="169" fontId="3" fillId="0" borderId="58" xfId="1" applyNumberFormat="1" applyFont="1" applyFill="1" applyBorder="1" applyAlignment="1">
      <alignment horizontal="right" vertical="center"/>
    </xf>
    <xf numFmtId="169" fontId="3" fillId="0" borderId="83" xfId="0" applyNumberFormat="1" applyFont="1" applyBorder="1" applyAlignment="1">
      <alignment horizontal="right" vertical="center"/>
    </xf>
    <xf numFmtId="1" fontId="3" fillId="0" borderId="54" xfId="0" applyNumberFormat="1" applyFont="1" applyBorder="1" applyAlignment="1">
      <alignment horizontal="right" vertical="center" wrapText="1"/>
    </xf>
    <xf numFmtId="169" fontId="3" fillId="0" borderId="54" xfId="1" applyNumberFormat="1" applyFont="1" applyFill="1" applyBorder="1" applyAlignment="1">
      <alignment horizontal="right" vertical="center"/>
    </xf>
    <xf numFmtId="1" fontId="3" fillId="0" borderId="88" xfId="0" applyNumberFormat="1" applyFont="1" applyBorder="1" applyAlignment="1">
      <alignment horizontal="right" vertical="center" wrapText="1"/>
    </xf>
    <xf numFmtId="1" fontId="3" fillId="0" borderId="61" xfId="0" applyNumberFormat="1" applyFont="1" applyBorder="1" applyAlignment="1">
      <alignment horizontal="right" vertical="center" wrapText="1"/>
    </xf>
    <xf numFmtId="1" fontId="3" fillId="0" borderId="54" xfId="0" applyNumberFormat="1" applyFont="1" applyBorder="1" applyAlignment="1">
      <alignment vertical="center"/>
    </xf>
    <xf numFmtId="169" fontId="3" fillId="0" borderId="76" xfId="1" applyNumberFormat="1" applyFont="1" applyFill="1" applyBorder="1" applyAlignment="1">
      <alignment horizontal="right" vertical="center"/>
    </xf>
    <xf numFmtId="1" fontId="3" fillId="0" borderId="65" xfId="0" applyNumberFormat="1" applyFont="1" applyBorder="1" applyAlignment="1">
      <alignment horizontal="right" vertical="center" wrapText="1"/>
    </xf>
    <xf numFmtId="169" fontId="3" fillId="0" borderId="65" xfId="1" applyNumberFormat="1" applyFont="1" applyFill="1" applyBorder="1" applyAlignment="1">
      <alignment horizontal="right" vertical="center"/>
    </xf>
    <xf numFmtId="0" fontId="3" fillId="0" borderId="60" xfId="0" applyFont="1" applyBorder="1" applyAlignment="1">
      <alignment vertical="center"/>
    </xf>
    <xf numFmtId="169" fontId="3" fillId="0" borderId="78" xfId="0" applyNumberFormat="1" applyFont="1" applyBorder="1" applyAlignment="1">
      <alignment horizontal="right" vertical="center"/>
    </xf>
    <xf numFmtId="2" fontId="3" fillId="0" borderId="81" xfId="0" applyNumberFormat="1" applyFont="1" applyBorder="1" applyAlignment="1">
      <alignment horizontal="left" vertical="center" wrapText="1"/>
    </xf>
    <xf numFmtId="0" fontId="3" fillId="0" borderId="80" xfId="0" applyFont="1" applyBorder="1" applyAlignment="1">
      <alignment vertical="center"/>
    </xf>
    <xf numFmtId="1" fontId="2" fillId="6" borderId="98" xfId="0" applyNumberFormat="1" applyFont="1" applyFill="1" applyBorder="1" applyAlignment="1">
      <alignment horizontal="right" vertical="center" wrapText="1"/>
    </xf>
    <xf numFmtId="1" fontId="2" fillId="6" borderId="37" xfId="0" applyNumberFormat="1" applyFont="1" applyFill="1" applyBorder="1" applyAlignment="1">
      <alignment horizontal="right" vertical="center" wrapText="1"/>
    </xf>
    <xf numFmtId="1" fontId="2" fillId="2" borderId="97" xfId="0" applyNumberFormat="1" applyFont="1" applyFill="1" applyBorder="1" applyAlignment="1">
      <alignment horizontal="right" vertical="center" wrapText="1"/>
    </xf>
    <xf numFmtId="169" fontId="2" fillId="2" borderId="96" xfId="1" applyNumberFormat="1" applyFont="1" applyFill="1" applyBorder="1" applyAlignment="1">
      <alignment horizontal="right" vertical="center"/>
    </xf>
    <xf numFmtId="1" fontId="2" fillId="0" borderId="98" xfId="0" applyNumberFormat="1" applyFont="1" applyBorder="1" applyAlignment="1">
      <alignment horizontal="right" vertical="center" wrapText="1"/>
    </xf>
    <xf numFmtId="1" fontId="2" fillId="0" borderId="50" xfId="0" applyNumberFormat="1" applyFont="1" applyBorder="1" applyAlignment="1">
      <alignment horizontal="right" vertical="center" wrapText="1"/>
    </xf>
    <xf numFmtId="1" fontId="2" fillId="0" borderId="94" xfId="0" applyNumberFormat="1" applyFont="1" applyBorder="1" applyAlignment="1">
      <alignment horizontal="right" vertical="center" wrapText="1"/>
    </xf>
    <xf numFmtId="1" fontId="2" fillId="0" borderId="37" xfId="0" applyNumberFormat="1" applyFont="1" applyBorder="1" applyAlignment="1">
      <alignment horizontal="right" vertical="center" wrapText="1"/>
    </xf>
    <xf numFmtId="1" fontId="2" fillId="0" borderId="96" xfId="0" applyNumberFormat="1" applyFont="1" applyBorder="1" applyAlignment="1">
      <alignment horizontal="right" vertical="center" wrapText="1"/>
    </xf>
    <xf numFmtId="169" fontId="3" fillId="0" borderId="99" xfId="0" applyNumberFormat="1" applyFont="1" applyBorder="1" applyAlignment="1">
      <alignment horizontal="right" vertical="center"/>
    </xf>
    <xf numFmtId="169" fontId="2" fillId="0" borderId="98" xfId="0" applyNumberFormat="1" applyFont="1" applyBorder="1" applyAlignment="1">
      <alignment horizontal="right" vertical="center" wrapText="1"/>
    </xf>
    <xf numFmtId="0" fontId="21" fillId="0" borderId="0" xfId="0" applyFont="1"/>
    <xf numFmtId="0" fontId="16" fillId="0" borderId="33" xfId="0" applyFont="1" applyBorder="1"/>
    <xf numFmtId="1" fontId="3" fillId="0" borderId="79" xfId="0" applyNumberFormat="1" applyFont="1" applyBorder="1" applyAlignment="1">
      <alignment horizontal="right" vertical="center" wrapText="1"/>
    </xf>
    <xf numFmtId="1" fontId="3" fillId="0" borderId="59" xfId="0" applyNumberFormat="1" applyFont="1" applyBorder="1" applyAlignment="1">
      <alignment horizontal="right" vertical="center" wrapText="1"/>
    </xf>
    <xf numFmtId="1" fontId="3" fillId="0" borderId="70" xfId="0" applyNumberFormat="1" applyFont="1" applyBorder="1" applyAlignment="1">
      <alignment horizontal="right" vertical="center" wrapText="1"/>
    </xf>
    <xf numFmtId="1" fontId="3" fillId="0" borderId="82" xfId="0" applyNumberFormat="1" applyFont="1" applyBorder="1" applyAlignment="1">
      <alignment horizontal="right" vertical="center" wrapText="1"/>
    </xf>
    <xf numFmtId="1" fontId="3" fillId="0" borderId="77" xfId="0" applyNumberFormat="1" applyFont="1" applyBorder="1" applyAlignment="1">
      <alignment horizontal="right" vertical="center" wrapText="1"/>
    </xf>
    <xf numFmtId="1" fontId="3" fillId="0" borderId="66" xfId="0" applyNumberFormat="1" applyFont="1" applyBorder="1" applyAlignment="1">
      <alignment horizontal="right" vertical="center" wrapText="1"/>
    </xf>
    <xf numFmtId="1" fontId="22" fillId="0" borderId="72" xfId="0" applyNumberFormat="1" applyFont="1" applyBorder="1" applyAlignment="1">
      <alignment horizontal="right" vertical="center" wrapText="1"/>
    </xf>
    <xf numFmtId="0" fontId="3" fillId="0" borderId="83" xfId="0" applyFont="1" applyBorder="1" applyAlignment="1">
      <alignment vertical="center"/>
    </xf>
    <xf numFmtId="2" fontId="2" fillId="6" borderId="96" xfId="0" applyNumberFormat="1" applyFont="1" applyFill="1" applyBorder="1" applyAlignment="1">
      <alignment horizontal="right" vertical="center" wrapText="1"/>
    </xf>
    <xf numFmtId="1" fontId="22" fillId="0" borderId="63" xfId="0" applyNumberFormat="1" applyFont="1" applyBorder="1" applyAlignment="1">
      <alignment horizontal="right" vertical="center" wrapText="1"/>
    </xf>
    <xf numFmtId="1" fontId="22" fillId="0" borderId="65" xfId="0" applyNumberFormat="1" applyFont="1" applyBorder="1" applyAlignment="1">
      <alignment horizontal="right" vertical="center" wrapText="1"/>
    </xf>
    <xf numFmtId="1" fontId="22" fillId="0" borderId="56" xfId="0" applyNumberFormat="1" applyFont="1" applyBorder="1" applyAlignment="1">
      <alignment vertical="center"/>
    </xf>
    <xf numFmtId="1" fontId="22" fillId="0" borderId="55" xfId="0" applyNumberFormat="1" applyFont="1" applyBorder="1" applyAlignment="1">
      <alignment horizontal="right" vertical="center" wrapText="1"/>
    </xf>
    <xf numFmtId="1" fontId="22" fillId="0" borderId="62" xfId="0" applyNumberFormat="1" applyFont="1" applyBorder="1" applyAlignment="1">
      <alignment vertical="center"/>
    </xf>
    <xf numFmtId="1" fontId="22" fillId="0" borderId="55" xfId="0" applyNumberFormat="1" applyFont="1" applyBorder="1" applyAlignment="1">
      <alignment vertical="center"/>
    </xf>
    <xf numFmtId="0" fontId="22" fillId="0" borderId="62" xfId="0" applyFont="1" applyBorder="1" applyAlignment="1">
      <alignment vertical="center"/>
    </xf>
    <xf numFmtId="0" fontId="22" fillId="0" borderId="76" xfId="0" applyFont="1" applyBorder="1" applyAlignment="1">
      <alignment vertical="center"/>
    </xf>
    <xf numFmtId="1" fontId="22" fillId="0" borderId="56" xfId="0" applyNumberFormat="1" applyFont="1" applyBorder="1" applyAlignment="1">
      <alignment horizontal="right" vertical="center" wrapText="1"/>
    </xf>
    <xf numFmtId="1" fontId="22" fillId="0" borderId="65" xfId="0" applyNumberFormat="1" applyFont="1" applyBorder="1" applyAlignment="1">
      <alignment vertical="center"/>
    </xf>
    <xf numFmtId="1" fontId="22" fillId="0" borderId="62" xfId="0" applyNumberFormat="1" applyFont="1" applyBorder="1" applyAlignment="1">
      <alignment horizontal="right" vertical="center" wrapText="1"/>
    </xf>
    <xf numFmtId="0" fontId="22" fillId="0" borderId="56" xfId="0" applyFont="1" applyBorder="1" applyAlignment="1">
      <alignment vertical="center"/>
    </xf>
    <xf numFmtId="1" fontId="22" fillId="0" borderId="71" xfId="0" applyNumberFormat="1" applyFont="1" applyBorder="1" applyAlignment="1">
      <alignment horizontal="right" vertical="center" wrapText="1"/>
    </xf>
    <xf numFmtId="1" fontId="22" fillId="0" borderId="93" xfId="0" applyNumberFormat="1" applyFont="1" applyBorder="1" applyAlignment="1">
      <alignment horizontal="right" vertical="center" wrapText="1"/>
    </xf>
    <xf numFmtId="1" fontId="22" fillId="0" borderId="58" xfId="0" applyNumberFormat="1" applyFont="1" applyBorder="1" applyAlignment="1">
      <alignment horizontal="right" vertical="center" wrapText="1"/>
    </xf>
    <xf numFmtId="0" fontId="22" fillId="0" borderId="58" xfId="0" applyFont="1" applyBorder="1" applyAlignment="1">
      <alignment vertical="center"/>
    </xf>
    <xf numFmtId="1" fontId="22" fillId="0" borderId="57" xfId="0" applyNumberFormat="1" applyFont="1" applyBorder="1" applyAlignment="1">
      <alignment horizontal="right" vertical="center" wrapText="1"/>
    </xf>
    <xf numFmtId="1" fontId="22" fillId="0" borderId="54" xfId="0" applyNumberFormat="1" applyFont="1" applyBorder="1" applyAlignment="1">
      <alignment horizontal="right" vertical="center" wrapText="1"/>
    </xf>
    <xf numFmtId="0" fontId="22" fillId="0" borderId="54" xfId="0" applyFont="1" applyBorder="1" applyAlignment="1">
      <alignment vertical="center"/>
    </xf>
    <xf numFmtId="1" fontId="22" fillId="0" borderId="53" xfId="0" applyNumberFormat="1" applyFont="1" applyBorder="1" applyAlignment="1">
      <alignment horizontal="right" vertical="center" wrapText="1"/>
    </xf>
    <xf numFmtId="0" fontId="22" fillId="0" borderId="57" xfId="0" applyFont="1" applyBorder="1" applyAlignment="1">
      <alignment vertical="center"/>
    </xf>
    <xf numFmtId="1" fontId="22" fillId="0" borderId="64" xfId="0" applyNumberFormat="1" applyFont="1" applyBorder="1" applyAlignment="1">
      <alignment horizontal="right" vertical="center" wrapText="1"/>
    </xf>
    <xf numFmtId="1" fontId="2" fillId="2" borderId="0" xfId="0" applyNumberFormat="1" applyFont="1" applyFill="1" applyAlignment="1">
      <alignment horizontal="right" vertical="center" wrapText="1"/>
    </xf>
    <xf numFmtId="169" fontId="2" fillId="2" borderId="101" xfId="0" applyNumberFormat="1" applyFont="1" applyFill="1" applyBorder="1" applyAlignment="1">
      <alignment horizontal="right" vertical="center"/>
    </xf>
    <xf numFmtId="169" fontId="2" fillId="8" borderId="96" xfId="1" applyNumberFormat="1" applyFont="1" applyFill="1" applyBorder="1" applyAlignment="1">
      <alignment horizontal="right" vertical="center"/>
    </xf>
    <xf numFmtId="1" fontId="2" fillId="8" borderId="99" xfId="0" applyNumberFormat="1" applyFont="1" applyFill="1" applyBorder="1" applyAlignment="1">
      <alignment horizontal="right" vertical="center" wrapText="1"/>
    </xf>
    <xf numFmtId="1" fontId="2" fillId="8" borderId="96" xfId="0" applyNumberFormat="1" applyFont="1" applyFill="1" applyBorder="1" applyAlignment="1">
      <alignment horizontal="right" vertical="center" wrapText="1"/>
    </xf>
    <xf numFmtId="169" fontId="2" fillId="8" borderId="98" xfId="0" applyNumberFormat="1" applyFont="1" applyFill="1" applyBorder="1" applyAlignment="1">
      <alignment horizontal="right" vertical="center"/>
    </xf>
    <xf numFmtId="2" fontId="2" fillId="8" borderId="97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1" fontId="2" fillId="8" borderId="98" xfId="0" applyNumberFormat="1" applyFont="1" applyFill="1" applyBorder="1" applyAlignment="1">
      <alignment horizontal="right" vertical="center" wrapText="1"/>
    </xf>
    <xf numFmtId="170" fontId="3" fillId="0" borderId="61" xfId="0" applyNumberFormat="1" applyFont="1" applyBorder="1" applyAlignment="1">
      <alignment horizontal="right" vertical="center" wrapText="1"/>
    </xf>
    <xf numFmtId="170" fontId="22" fillId="0" borderId="65" xfId="0" applyNumberFormat="1" applyFont="1" applyBorder="1" applyAlignment="1">
      <alignment horizontal="right" vertical="center" wrapText="1"/>
    </xf>
    <xf numFmtId="170" fontId="22" fillId="0" borderId="62" xfId="0" applyNumberFormat="1" applyFont="1" applyBorder="1" applyAlignment="1">
      <alignment horizontal="right" vertical="center" wrapText="1"/>
    </xf>
    <xf numFmtId="170" fontId="22" fillId="0" borderId="58" xfId="0" applyNumberFormat="1" applyFont="1" applyBorder="1" applyAlignment="1">
      <alignment horizontal="right" vertical="center" wrapText="1"/>
    </xf>
    <xf numFmtId="170" fontId="3" fillId="0" borderId="65" xfId="0" applyNumberFormat="1" applyFont="1" applyBorder="1" applyAlignment="1">
      <alignment horizontal="right" vertical="center" wrapText="1"/>
    </xf>
    <xf numFmtId="170" fontId="3" fillId="0" borderId="56" xfId="0" applyNumberFormat="1" applyFont="1" applyBorder="1" applyAlignment="1">
      <alignment horizontal="right" vertical="center" wrapText="1"/>
    </xf>
    <xf numFmtId="170" fontId="3" fillId="0" borderId="58" xfId="0" applyNumberFormat="1" applyFont="1" applyBorder="1" applyAlignment="1">
      <alignment horizontal="right" vertical="center" wrapText="1"/>
    </xf>
    <xf numFmtId="170" fontId="22" fillId="0" borderId="54" xfId="0" applyNumberFormat="1" applyFont="1" applyBorder="1" applyAlignment="1">
      <alignment horizontal="right" vertical="center" wrapText="1"/>
    </xf>
    <xf numFmtId="170" fontId="22" fillId="0" borderId="62" xfId="0" applyNumberFormat="1" applyFont="1" applyBorder="1" applyAlignment="1">
      <alignment vertical="center"/>
    </xf>
    <xf numFmtId="170" fontId="3" fillId="0" borderId="54" xfId="0" applyNumberFormat="1" applyFont="1" applyBorder="1" applyAlignment="1">
      <alignment horizontal="right" vertical="center" wrapText="1"/>
    </xf>
    <xf numFmtId="170" fontId="22" fillId="0" borderId="56" xfId="0" applyNumberFormat="1" applyFont="1" applyBorder="1" applyAlignment="1">
      <alignment horizontal="right" vertical="center" wrapText="1"/>
    </xf>
    <xf numFmtId="170" fontId="2" fillId="2" borderId="96" xfId="0" applyNumberFormat="1" applyFont="1" applyFill="1" applyBorder="1" applyAlignment="1">
      <alignment horizontal="right" vertical="center" wrapText="1"/>
    </xf>
    <xf numFmtId="1" fontId="3" fillId="0" borderId="103" xfId="0" applyNumberFormat="1" applyFont="1" applyBorder="1" applyAlignment="1">
      <alignment horizontal="right" vertical="center" wrapText="1"/>
    </xf>
    <xf numFmtId="1" fontId="3" fillId="0" borderId="105" xfId="0" applyNumberFormat="1" applyFont="1" applyBorder="1" applyAlignment="1">
      <alignment horizontal="right" vertical="center" wrapText="1"/>
    </xf>
    <xf numFmtId="0" fontId="24" fillId="0" borderId="0" xfId="0" applyFont="1"/>
    <xf numFmtId="1" fontId="2" fillId="8" borderId="53" xfId="0" applyNumberFormat="1" applyFont="1" applyFill="1" applyBorder="1" applyAlignment="1">
      <alignment horizontal="right" vertical="center" wrapText="1"/>
    </xf>
    <xf numFmtId="2" fontId="2" fillId="8" borderId="54" xfId="0" applyNumberFormat="1" applyFont="1" applyFill="1" applyBorder="1" applyAlignment="1">
      <alignment horizontal="right" vertical="center" wrapText="1"/>
    </xf>
    <xf numFmtId="1" fontId="2" fillId="8" borderId="54" xfId="0" applyNumberFormat="1" applyFont="1" applyFill="1" applyBorder="1" applyAlignment="1">
      <alignment horizontal="right" vertical="center" wrapText="1"/>
    </xf>
    <xf numFmtId="170" fontId="2" fillId="8" borderId="54" xfId="0" applyNumberFormat="1" applyFont="1" applyFill="1" applyBorder="1" applyAlignment="1">
      <alignment horizontal="right" vertical="center" wrapText="1"/>
    </xf>
    <xf numFmtId="169" fontId="2" fillId="8" borderId="54" xfId="1" applyNumberFormat="1" applyFont="1" applyFill="1" applyBorder="1" applyAlignment="1">
      <alignment horizontal="right" vertical="center"/>
    </xf>
    <xf numFmtId="169" fontId="2" fillId="8" borderId="86" xfId="0" applyNumberFormat="1" applyFont="1" applyFill="1" applyBorder="1" applyAlignment="1">
      <alignment horizontal="right" vertical="center"/>
    </xf>
    <xf numFmtId="1" fontId="2" fillId="8" borderId="76" xfId="0" applyNumberFormat="1" applyFont="1" applyFill="1" applyBorder="1" applyAlignment="1">
      <alignment horizontal="right" vertical="center" wrapText="1"/>
    </xf>
    <xf numFmtId="1" fontId="2" fillId="8" borderId="93" xfId="0" applyNumberFormat="1" applyFont="1" applyFill="1" applyBorder="1" applyAlignment="1">
      <alignment horizontal="right" vertical="center" wrapText="1"/>
    </xf>
    <xf numFmtId="2" fontId="2" fillId="8" borderId="58" xfId="0" applyNumberFormat="1" applyFont="1" applyFill="1" applyBorder="1" applyAlignment="1">
      <alignment horizontal="right" vertical="center" wrapText="1"/>
    </xf>
    <xf numFmtId="1" fontId="2" fillId="8" borderId="58" xfId="0" applyNumberFormat="1" applyFont="1" applyFill="1" applyBorder="1" applyAlignment="1">
      <alignment horizontal="right" vertical="center" wrapText="1"/>
    </xf>
    <xf numFmtId="1" fontId="2" fillId="8" borderId="57" xfId="0" applyNumberFormat="1" applyFont="1" applyFill="1" applyBorder="1" applyAlignment="1">
      <alignment horizontal="right" vertical="center" wrapText="1"/>
    </xf>
    <xf numFmtId="170" fontId="2" fillId="8" borderId="58" xfId="0" applyNumberFormat="1" applyFont="1" applyFill="1" applyBorder="1" applyAlignment="1">
      <alignment horizontal="right" vertical="center" wrapText="1"/>
    </xf>
    <xf numFmtId="171" fontId="2" fillId="0" borderId="90" xfId="0" applyNumberFormat="1" applyFont="1" applyBorder="1" applyAlignment="1">
      <alignment horizontal="right" vertical="center" wrapText="1"/>
    </xf>
    <xf numFmtId="170" fontId="2" fillId="0" borderId="94" xfId="0" applyNumberFormat="1" applyFont="1" applyBorder="1" applyAlignment="1">
      <alignment horizontal="right" vertical="center" wrapText="1"/>
    </xf>
    <xf numFmtId="170" fontId="2" fillId="0" borderId="98" xfId="0" applyNumberFormat="1" applyFont="1" applyBorder="1" applyAlignment="1">
      <alignment horizontal="right" vertical="center" wrapText="1"/>
    </xf>
    <xf numFmtId="170" fontId="2" fillId="0" borderId="95" xfId="0" applyNumberFormat="1" applyFont="1" applyBorder="1" applyAlignment="1">
      <alignment horizontal="right" vertical="center" wrapText="1"/>
    </xf>
    <xf numFmtId="1" fontId="3" fillId="0" borderId="0" xfId="0" applyNumberFormat="1" applyFont="1"/>
    <xf numFmtId="3" fontId="3" fillId="0" borderId="0" xfId="0" applyNumberFormat="1" applyFont="1"/>
    <xf numFmtId="171" fontId="3" fillId="0" borderId="0" xfId="0" applyNumberFormat="1" applyFont="1" applyAlignment="1">
      <alignment horizontal="right" wrapText="1"/>
    </xf>
    <xf numFmtId="172" fontId="3" fillId="0" borderId="0" xfId="3" applyNumberFormat="1" applyFont="1" applyFill="1" applyBorder="1" applyAlignment="1"/>
    <xf numFmtId="170" fontId="2" fillId="8" borderId="96" xfId="0" applyNumberFormat="1" applyFont="1" applyFill="1" applyBorder="1" applyAlignment="1">
      <alignment horizontal="right" vertical="center" wrapText="1"/>
    </xf>
    <xf numFmtId="1" fontId="25" fillId="8" borderId="98" xfId="0" applyNumberFormat="1" applyFont="1" applyFill="1" applyBorder="1" applyAlignment="1">
      <alignment horizontal="right" vertical="center" wrapText="1"/>
    </xf>
    <xf numFmtId="1" fontId="2" fillId="2" borderId="67" xfId="0" applyNumberFormat="1" applyFont="1" applyFill="1" applyBorder="1" applyAlignment="1">
      <alignment horizontal="right" vertical="center" wrapText="1"/>
    </xf>
    <xf numFmtId="1" fontId="22" fillId="2" borderId="39" xfId="0" applyNumberFormat="1" applyFont="1" applyFill="1" applyBorder="1" applyAlignment="1">
      <alignment horizontal="right" vertical="center" wrapText="1"/>
    </xf>
    <xf numFmtId="0" fontId="22" fillId="2" borderId="90" xfId="0" applyFont="1" applyFill="1" applyBorder="1" applyAlignment="1">
      <alignment horizontal="right" vertical="center" wrapText="1"/>
    </xf>
    <xf numFmtId="170" fontId="22" fillId="2" borderId="90" xfId="0" applyNumberFormat="1" applyFont="1" applyFill="1" applyBorder="1" applyAlignment="1">
      <alignment horizontal="right" vertical="center" wrapText="1"/>
    </xf>
    <xf numFmtId="2" fontId="22" fillId="2" borderId="100" xfId="0" applyNumberFormat="1" applyFont="1" applyFill="1" applyBorder="1" applyAlignment="1">
      <alignment horizontal="right" vertical="center" wrapText="1"/>
    </xf>
    <xf numFmtId="169" fontId="22" fillId="2" borderId="100" xfId="0" applyNumberFormat="1" applyFont="1" applyFill="1" applyBorder="1" applyAlignment="1">
      <alignment horizontal="right" vertical="center" wrapText="1"/>
    </xf>
    <xf numFmtId="0" fontId="22" fillId="0" borderId="107" xfId="0" applyFont="1" applyBorder="1" applyAlignment="1">
      <alignment horizontal="right" vertical="center" wrapText="1"/>
    </xf>
    <xf numFmtId="0" fontId="22" fillId="0" borderId="59" xfId="0" applyFont="1" applyBorder="1" applyAlignment="1">
      <alignment horizontal="right" vertical="center" wrapText="1"/>
    </xf>
    <xf numFmtId="0" fontId="22" fillId="0" borderId="66" xfId="0" applyFont="1" applyBorder="1" applyAlignment="1">
      <alignment horizontal="right" vertical="center" wrapText="1"/>
    </xf>
    <xf numFmtId="0" fontId="22" fillId="0" borderId="60" xfId="0" applyFont="1" applyBorder="1" applyAlignment="1">
      <alignment horizontal="right" vertical="center" wrapText="1"/>
    </xf>
    <xf numFmtId="0" fontId="22" fillId="0" borderId="56" xfId="0" applyFont="1" applyBorder="1" applyAlignment="1">
      <alignment horizontal="right" vertical="center" wrapText="1"/>
    </xf>
    <xf numFmtId="0" fontId="22" fillId="0" borderId="108" xfId="0" applyFont="1" applyBorder="1" applyAlignment="1">
      <alignment horizontal="right" vertical="center" wrapText="1"/>
    </xf>
    <xf numFmtId="8" fontId="22" fillId="0" borderId="56" xfId="0" applyNumberFormat="1" applyFont="1" applyBorder="1" applyAlignment="1">
      <alignment horizontal="right" vertical="center" wrapText="1"/>
    </xf>
    <xf numFmtId="0" fontId="22" fillId="0" borderId="73" xfId="0" applyFont="1" applyBorder="1" applyAlignment="1">
      <alignment horizontal="right" vertical="center" wrapText="1"/>
    </xf>
    <xf numFmtId="0" fontId="22" fillId="0" borderId="65" xfId="0" applyFont="1" applyBorder="1" applyAlignment="1">
      <alignment horizontal="right" vertical="center" wrapText="1"/>
    </xf>
    <xf numFmtId="8" fontId="22" fillId="0" borderId="65" xfId="0" applyNumberFormat="1" applyFont="1" applyBorder="1" applyAlignment="1">
      <alignment horizontal="right" vertical="center" wrapText="1"/>
    </xf>
    <xf numFmtId="2" fontId="3" fillId="0" borderId="107" xfId="0" applyNumberFormat="1" applyFont="1" applyBorder="1" applyAlignment="1">
      <alignment horizontal="right" vertical="center" wrapText="1"/>
    </xf>
    <xf numFmtId="0" fontId="22" fillId="0" borderId="77" xfId="0" applyFont="1" applyBorder="1" applyAlignment="1">
      <alignment horizontal="left" vertical="center" wrapText="1"/>
    </xf>
    <xf numFmtId="0" fontId="22" fillId="0" borderId="110" xfId="0" applyFont="1" applyBorder="1" applyAlignment="1">
      <alignment horizontal="right" vertical="center" wrapText="1"/>
    </xf>
    <xf numFmtId="2" fontId="3" fillId="0" borderId="109" xfId="0" applyNumberFormat="1" applyFont="1" applyBorder="1" applyAlignment="1">
      <alignment horizontal="right" vertical="center" wrapText="1"/>
    </xf>
    <xf numFmtId="2" fontId="3" fillId="0" borderId="110" xfId="0" applyNumberFormat="1" applyFont="1" applyBorder="1" applyAlignment="1">
      <alignment horizontal="right" vertical="center"/>
    </xf>
    <xf numFmtId="0" fontId="22" fillId="8" borderId="67" xfId="0" applyFont="1" applyFill="1" applyBorder="1" applyAlignment="1">
      <alignment horizontal="right" vertical="center" wrapText="1"/>
    </xf>
    <xf numFmtId="0" fontId="22" fillId="8" borderId="96" xfId="0" applyFont="1" applyFill="1" applyBorder="1" applyAlignment="1">
      <alignment horizontal="right" vertical="center" wrapText="1"/>
    </xf>
    <xf numFmtId="1" fontId="3" fillId="8" borderId="96" xfId="0" applyNumberFormat="1" applyFont="1" applyFill="1" applyBorder="1" applyAlignment="1">
      <alignment horizontal="right" vertical="center" wrapText="1"/>
    </xf>
    <xf numFmtId="2" fontId="3" fillId="8" borderId="99" xfId="0" applyNumberFormat="1" applyFont="1" applyFill="1" applyBorder="1" applyAlignment="1">
      <alignment horizontal="right" vertical="center"/>
    </xf>
    <xf numFmtId="8" fontId="22" fillId="8" borderId="96" xfId="0" applyNumberFormat="1" applyFont="1" applyFill="1" applyBorder="1" applyAlignment="1">
      <alignment horizontal="right" vertical="center" wrapText="1"/>
    </xf>
    <xf numFmtId="169" fontId="3" fillId="8" borderId="98" xfId="0" applyNumberFormat="1" applyFont="1" applyFill="1" applyBorder="1" applyAlignment="1">
      <alignment horizontal="right" vertical="center"/>
    </xf>
    <xf numFmtId="1" fontId="3" fillId="8" borderId="67" xfId="0" applyNumberFormat="1" applyFont="1" applyFill="1" applyBorder="1" applyAlignment="1">
      <alignment horizontal="right" vertical="center" wrapText="1"/>
    </xf>
    <xf numFmtId="1" fontId="3" fillId="8" borderId="37" xfId="0" applyNumberFormat="1" applyFont="1" applyFill="1" applyBorder="1" applyAlignment="1">
      <alignment horizontal="right" vertical="center" wrapText="1"/>
    </xf>
    <xf numFmtId="170" fontId="3" fillId="8" borderId="96" xfId="0" applyNumberFormat="1" applyFont="1" applyFill="1" applyBorder="1" applyAlignment="1">
      <alignment horizontal="right" vertical="center" wrapText="1"/>
    </xf>
    <xf numFmtId="1" fontId="3" fillId="8" borderId="99" xfId="0" applyNumberFormat="1" applyFont="1" applyFill="1" applyBorder="1" applyAlignment="1">
      <alignment horizontal="right" vertical="center" wrapText="1"/>
    </xf>
    <xf numFmtId="169" fontId="3" fillId="8" borderId="96" xfId="1" applyNumberFormat="1" applyFont="1" applyFill="1" applyBorder="1" applyAlignment="1">
      <alignment horizontal="right" vertical="center"/>
    </xf>
    <xf numFmtId="0" fontId="22" fillId="8" borderId="37" xfId="0" applyFont="1" applyFill="1" applyBorder="1" applyAlignment="1">
      <alignment horizontal="right" vertical="center" wrapText="1"/>
    </xf>
    <xf numFmtId="2" fontId="3" fillId="8" borderId="98" xfId="0" applyNumberFormat="1" applyFont="1" applyFill="1" applyBorder="1" applyAlignment="1">
      <alignment horizontal="right" vertical="center" wrapText="1"/>
    </xf>
    <xf numFmtId="0" fontId="22" fillId="8" borderId="95" xfId="0" applyFont="1" applyFill="1" applyBorder="1" applyAlignment="1">
      <alignment horizontal="right" vertical="center" wrapText="1"/>
    </xf>
    <xf numFmtId="1" fontId="22" fillId="2" borderId="100" xfId="0" applyNumberFormat="1" applyFont="1" applyFill="1" applyBorder="1" applyAlignment="1">
      <alignment horizontal="right" vertical="center" wrapText="1"/>
    </xf>
    <xf numFmtId="1" fontId="22" fillId="2" borderId="90" xfId="0" applyNumberFormat="1" applyFont="1" applyFill="1" applyBorder="1" applyAlignment="1">
      <alignment horizontal="right" vertical="center" wrapText="1"/>
    </xf>
    <xf numFmtId="1" fontId="22" fillId="2" borderId="89" xfId="0" applyNumberFormat="1" applyFont="1" applyFill="1" applyBorder="1" applyAlignment="1">
      <alignment horizontal="right" vertical="center" wrapText="1"/>
    </xf>
    <xf numFmtId="8" fontId="22" fillId="0" borderId="59" xfId="0" applyNumberFormat="1" applyFont="1" applyBorder="1" applyAlignment="1">
      <alignment horizontal="right" vertical="center" wrapText="1"/>
    </xf>
    <xf numFmtId="8" fontId="22" fillId="8" borderId="97" xfId="0" applyNumberFormat="1" applyFont="1" applyFill="1" applyBorder="1" applyAlignment="1">
      <alignment horizontal="right" vertical="center" wrapText="1"/>
    </xf>
    <xf numFmtId="169" fontId="3" fillId="0" borderId="79" xfId="1" applyNumberFormat="1" applyFont="1" applyFill="1" applyBorder="1" applyAlignment="1">
      <alignment horizontal="right" vertical="center"/>
    </xf>
    <xf numFmtId="169" fontId="3" fillId="0" borderId="59" xfId="1" applyNumberFormat="1" applyFont="1" applyFill="1" applyBorder="1" applyAlignment="1">
      <alignment horizontal="right" vertical="center"/>
    </xf>
    <xf numFmtId="169" fontId="3" fillId="8" borderId="97" xfId="1" applyNumberFormat="1" applyFont="1" applyFill="1" applyBorder="1" applyAlignment="1">
      <alignment horizontal="right" vertical="center"/>
    </xf>
    <xf numFmtId="0" fontId="22" fillId="2" borderId="94" xfId="0" applyFont="1" applyFill="1" applyBorder="1" applyAlignment="1">
      <alignment horizontal="right" vertical="center" wrapText="1"/>
    </xf>
    <xf numFmtId="169" fontId="3" fillId="0" borderId="77" xfId="1" applyNumberFormat="1" applyFont="1" applyFill="1" applyBorder="1" applyAlignment="1">
      <alignment horizontal="right" vertical="center"/>
    </xf>
    <xf numFmtId="169" fontId="3" fillId="0" borderId="87" xfId="1" applyNumberFormat="1" applyFont="1" applyFill="1" applyBorder="1" applyAlignment="1">
      <alignment horizontal="right" vertical="center"/>
    </xf>
    <xf numFmtId="169" fontId="2" fillId="8" borderId="97" xfId="1" applyNumberFormat="1" applyFont="1" applyFill="1" applyBorder="1" applyAlignment="1">
      <alignment horizontal="right" vertical="center"/>
    </xf>
    <xf numFmtId="169" fontId="2" fillId="8" borderId="85" xfId="1" applyNumberFormat="1" applyFont="1" applyFill="1" applyBorder="1" applyAlignment="1">
      <alignment horizontal="right" vertical="center"/>
    </xf>
    <xf numFmtId="169" fontId="2" fillId="2" borderId="97" xfId="1" applyNumberFormat="1" applyFont="1" applyFill="1" applyBorder="1" applyAlignment="1">
      <alignment horizontal="right" vertical="center"/>
    </xf>
    <xf numFmtId="169" fontId="3" fillId="0" borderId="67" xfId="0" applyNumberFormat="1" applyFont="1" applyBorder="1" applyAlignment="1">
      <alignment horizontal="right" vertical="center"/>
    </xf>
    <xf numFmtId="0" fontId="22" fillId="0" borderId="56" xfId="0" applyFont="1" applyBorder="1" applyAlignment="1">
      <alignment horizontal="left" vertical="center" wrapText="1"/>
    </xf>
    <xf numFmtId="169" fontId="3" fillId="0" borderId="91" xfId="0" applyNumberFormat="1" applyFont="1" applyBorder="1" applyAlignment="1">
      <alignment horizontal="right" vertical="center"/>
    </xf>
    <xf numFmtId="169" fontId="3" fillId="0" borderId="68" xfId="0" applyNumberFormat="1" applyFont="1" applyBorder="1" applyAlignment="1">
      <alignment horizontal="right" vertical="center"/>
    </xf>
    <xf numFmtId="169" fontId="2" fillId="8" borderId="99" xfId="1" applyNumberFormat="1" applyFont="1" applyFill="1" applyBorder="1" applyAlignment="1">
      <alignment horizontal="right" vertical="center"/>
    </xf>
    <xf numFmtId="169" fontId="2" fillId="8" borderId="67" xfId="1" applyNumberFormat="1" applyFont="1" applyFill="1" applyBorder="1" applyAlignment="1">
      <alignment horizontal="right" vertical="center"/>
    </xf>
    <xf numFmtId="169" fontId="2" fillId="8" borderId="98" xfId="0" applyNumberFormat="1" applyFont="1" applyFill="1" applyBorder="1" applyAlignment="1">
      <alignment vertical="center"/>
    </xf>
    <xf numFmtId="170" fontId="2" fillId="0" borderId="90" xfId="0" applyNumberFormat="1" applyFont="1" applyBorder="1" applyAlignment="1">
      <alignment horizontal="right" vertical="center" wrapText="1"/>
    </xf>
    <xf numFmtId="170" fontId="2" fillId="0" borderId="96" xfId="0" applyNumberFormat="1" applyFont="1" applyBorder="1" applyAlignment="1">
      <alignment horizontal="right" vertical="center" wrapText="1"/>
    </xf>
    <xf numFmtId="2" fontId="22" fillId="0" borderId="69" xfId="0" applyNumberFormat="1" applyFont="1" applyBorder="1" applyAlignment="1">
      <alignment horizontal="right" vertical="center" wrapText="1"/>
    </xf>
    <xf numFmtId="2" fontId="22" fillId="0" borderId="83" xfId="0" applyNumberFormat="1" applyFont="1" applyBorder="1" applyAlignment="1">
      <alignment horizontal="right" vertical="center" wrapText="1"/>
    </xf>
    <xf numFmtId="2" fontId="2" fillId="8" borderId="86" xfId="0" applyNumberFormat="1" applyFont="1" applyFill="1" applyBorder="1" applyAlignment="1">
      <alignment horizontal="right" vertical="center" wrapText="1"/>
    </xf>
    <xf numFmtId="169" fontId="2" fillId="2" borderId="98" xfId="1" applyNumberFormat="1" applyFont="1" applyFill="1" applyBorder="1" applyAlignment="1">
      <alignment horizontal="right" vertical="center" wrapText="1"/>
    </xf>
    <xf numFmtId="0" fontId="3" fillId="0" borderId="74" xfId="0" applyFont="1" applyBorder="1" applyAlignment="1">
      <alignment vertical="center"/>
    </xf>
    <xf numFmtId="2" fontId="3" fillId="0" borderId="59" xfId="0" applyNumberFormat="1" applyFont="1" applyBorder="1" applyAlignment="1">
      <alignment vertical="center" wrapText="1"/>
    </xf>
    <xf numFmtId="0" fontId="22" fillId="0" borderId="62" xfId="0" applyFont="1" applyBorder="1" applyAlignment="1">
      <alignment horizontal="left" vertical="center" wrapText="1"/>
    </xf>
    <xf numFmtId="2" fontId="1" fillId="0" borderId="56" xfId="0" applyNumberFormat="1" applyFont="1" applyBorder="1" applyAlignment="1">
      <alignment horizontal="left" vertical="center" wrapText="1"/>
    </xf>
    <xf numFmtId="0" fontId="22" fillId="0" borderId="76" xfId="0" applyFont="1" applyBorder="1" applyAlignment="1">
      <alignment horizontal="left" vertical="center" wrapText="1"/>
    </xf>
    <xf numFmtId="2" fontId="1" fillId="0" borderId="76" xfId="0" applyNumberFormat="1" applyFont="1" applyBorder="1" applyAlignment="1">
      <alignment horizontal="left" vertical="center" wrapText="1"/>
    </xf>
    <xf numFmtId="2" fontId="1" fillId="0" borderId="65" xfId="0" applyNumberFormat="1" applyFont="1" applyBorder="1" applyAlignment="1">
      <alignment horizontal="left" vertical="center" wrapText="1"/>
    </xf>
    <xf numFmtId="2" fontId="1" fillId="0" borderId="62" xfId="0" applyNumberFormat="1" applyFont="1" applyBorder="1" applyAlignment="1">
      <alignment horizontal="left" vertical="center" wrapText="1"/>
    </xf>
    <xf numFmtId="2" fontId="1" fillId="0" borderId="58" xfId="0" applyNumberFormat="1" applyFont="1" applyBorder="1" applyAlignment="1">
      <alignment horizontal="left" vertical="center" wrapText="1"/>
    </xf>
    <xf numFmtId="0" fontId="22" fillId="0" borderId="65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1" fontId="22" fillId="0" borderId="63" xfId="0" applyNumberFormat="1" applyFont="1" applyBorder="1" applyAlignment="1">
      <alignment vertical="center"/>
    </xf>
    <xf numFmtId="170" fontId="3" fillId="0" borderId="0" xfId="0" applyNumberFormat="1" applyFont="1"/>
    <xf numFmtId="164" fontId="22" fillId="2" borderId="90" xfId="0" applyNumberFormat="1" applyFont="1" applyFill="1" applyBorder="1" applyAlignment="1">
      <alignment horizontal="right" vertical="center" wrapText="1"/>
    </xf>
    <xf numFmtId="0" fontId="3" fillId="0" borderId="101" xfId="0" applyFont="1" applyBorder="1" applyAlignment="1">
      <alignment vertical="center"/>
    </xf>
    <xf numFmtId="1" fontId="2" fillId="8" borderId="95" xfId="0" applyNumberFormat="1" applyFont="1" applyFill="1" applyBorder="1" applyAlignment="1">
      <alignment horizontal="right" vertical="center" wrapText="1"/>
    </xf>
    <xf numFmtId="2" fontId="2" fillId="8" borderId="98" xfId="0" applyNumberFormat="1" applyFont="1" applyFill="1" applyBorder="1" applyAlignment="1">
      <alignment horizontal="right" vertical="center" wrapText="1"/>
    </xf>
    <xf numFmtId="2" fontId="3" fillId="0" borderId="58" xfId="0" applyNumberFormat="1" applyFont="1" applyBorder="1" applyAlignment="1">
      <alignment vertical="center" wrapText="1"/>
    </xf>
    <xf numFmtId="1" fontId="2" fillId="2" borderId="37" xfId="0" applyNumberFormat="1" applyFont="1" applyFill="1" applyBorder="1" applyAlignment="1">
      <alignment horizontal="right" vertical="center" wrapText="1"/>
    </xf>
    <xf numFmtId="2" fontId="2" fillId="2" borderId="98" xfId="0" applyNumberFormat="1" applyFont="1" applyFill="1" applyBorder="1" applyAlignment="1">
      <alignment horizontal="right" vertical="center" wrapText="1"/>
    </xf>
    <xf numFmtId="0" fontId="25" fillId="0" borderId="0" xfId="0" applyFont="1"/>
    <xf numFmtId="0" fontId="3" fillId="0" borderId="0" xfId="0" applyFont="1"/>
    <xf numFmtId="0" fontId="3" fillId="0" borderId="46" xfId="0" applyFont="1" applyBorder="1"/>
    <xf numFmtId="1" fontId="3" fillId="0" borderId="45" xfId="0" applyNumberFormat="1" applyFont="1" applyBorder="1" applyAlignment="1">
      <alignment horizontal="right"/>
    </xf>
    <xf numFmtId="0" fontId="3" fillId="0" borderId="2" xfId="0" applyFont="1" applyBorder="1"/>
    <xf numFmtId="1" fontId="3" fillId="0" borderId="32" xfId="0" applyNumberFormat="1" applyFont="1" applyBorder="1"/>
    <xf numFmtId="0" fontId="3" fillId="0" borderId="111" xfId="0" applyFont="1" applyBorder="1"/>
    <xf numFmtId="0" fontId="22" fillId="0" borderId="80" xfId="0" applyFont="1" applyBorder="1" applyAlignment="1">
      <alignment horizontal="left" vertical="center" wrapText="1"/>
    </xf>
    <xf numFmtId="1" fontId="3" fillId="0" borderId="76" xfId="0" applyNumberFormat="1" applyFont="1" applyBorder="1" applyAlignment="1">
      <alignment horizontal="right" vertical="center" wrapText="1"/>
    </xf>
    <xf numFmtId="170" fontId="3" fillId="0" borderId="76" xfId="0" applyNumberFormat="1" applyFont="1" applyBorder="1" applyAlignment="1">
      <alignment horizontal="right" vertical="center" wrapText="1"/>
    </xf>
    <xf numFmtId="1" fontId="3" fillId="0" borderId="107" xfId="0" applyNumberFormat="1" applyFont="1" applyBorder="1" applyAlignment="1">
      <alignment horizontal="right" vertical="center" wrapText="1"/>
    </xf>
    <xf numFmtId="1" fontId="3" fillId="0" borderId="109" xfId="0" applyNumberFormat="1" applyFont="1" applyBorder="1" applyAlignment="1">
      <alignment horizontal="right" vertical="center" wrapText="1"/>
    </xf>
    <xf numFmtId="1" fontId="3" fillId="8" borderId="98" xfId="0" applyNumberFormat="1" applyFont="1" applyFill="1" applyBorder="1" applyAlignment="1">
      <alignment horizontal="right" vertical="center" wrapText="1"/>
    </xf>
    <xf numFmtId="2" fontId="3" fillId="0" borderId="78" xfId="0" applyNumberFormat="1" applyFont="1" applyBorder="1" applyAlignment="1">
      <alignment horizontal="right" vertical="center" wrapText="1"/>
    </xf>
    <xf numFmtId="2" fontId="3" fillId="0" borderId="83" xfId="0" applyNumberFormat="1" applyFont="1" applyBorder="1" applyAlignment="1">
      <alignment horizontal="right" vertical="center" wrapText="1"/>
    </xf>
    <xf numFmtId="2" fontId="3" fillId="0" borderId="70" xfId="0" applyNumberFormat="1" applyFont="1" applyBorder="1" applyAlignment="1">
      <alignment horizontal="right" vertical="center" wrapText="1"/>
    </xf>
    <xf numFmtId="1" fontId="3" fillId="0" borderId="78" xfId="0" applyNumberFormat="1" applyFont="1" applyBorder="1" applyAlignment="1">
      <alignment horizontal="right" vertical="center" wrapText="1"/>
    </xf>
    <xf numFmtId="1" fontId="3" fillId="0" borderId="83" xfId="0" applyNumberFormat="1" applyFont="1" applyBorder="1" applyAlignment="1">
      <alignment horizontal="right" vertical="center" wrapText="1"/>
    </xf>
    <xf numFmtId="170" fontId="22" fillId="8" borderId="96" xfId="0" applyNumberFormat="1" applyFont="1" applyFill="1" applyBorder="1" applyAlignment="1">
      <alignment horizontal="right" vertical="center" wrapText="1"/>
    </xf>
    <xf numFmtId="2" fontId="3" fillId="0" borderId="59" xfId="0" applyNumberFormat="1" applyFont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right" vertical="center" wrapText="1"/>
    </xf>
    <xf numFmtId="2" fontId="3" fillId="0" borderId="68" xfId="0" applyNumberFormat="1" applyFont="1" applyBorder="1" applyAlignment="1">
      <alignment horizontal="right" vertical="center" wrapText="1"/>
    </xf>
    <xf numFmtId="2" fontId="22" fillId="0" borderId="78" xfId="0" applyNumberFormat="1" applyFont="1" applyBorder="1" applyAlignment="1">
      <alignment horizontal="right" vertical="center" wrapText="1"/>
    </xf>
    <xf numFmtId="2" fontId="22" fillId="0" borderId="70" xfId="0" applyNumberFormat="1" applyFont="1" applyBorder="1" applyAlignment="1">
      <alignment horizontal="right" vertical="center" wrapText="1"/>
    </xf>
    <xf numFmtId="2" fontId="22" fillId="0" borderId="86" xfId="0" applyNumberFormat="1" applyFont="1" applyBorder="1" applyAlignment="1">
      <alignment horizontal="right" vertical="center" wrapText="1"/>
    </xf>
    <xf numFmtId="2" fontId="2" fillId="8" borderId="101" xfId="0" applyNumberFormat="1" applyFont="1" applyFill="1" applyBorder="1" applyAlignment="1">
      <alignment horizontal="right" vertical="center" wrapText="1"/>
    </xf>
    <xf numFmtId="170" fontId="2" fillId="2" borderId="97" xfId="0" applyNumberFormat="1" applyFont="1" applyFill="1" applyBorder="1" applyAlignment="1">
      <alignment horizontal="right" vertical="center" wrapText="1"/>
    </xf>
    <xf numFmtId="2" fontId="3" fillId="0" borderId="86" xfId="0" applyNumberFormat="1" applyFont="1" applyBorder="1" applyAlignment="1">
      <alignment horizontal="right" vertical="center" wrapText="1"/>
    </xf>
    <xf numFmtId="2" fontId="3" fillId="0" borderId="91" xfId="0" applyNumberFormat="1" applyFont="1" applyBorder="1" applyAlignment="1">
      <alignment horizontal="right" vertical="center" wrapText="1"/>
    </xf>
    <xf numFmtId="2" fontId="2" fillId="8" borderId="83" xfId="0" applyNumberFormat="1" applyFont="1" applyFill="1" applyBorder="1" applyAlignment="1">
      <alignment horizontal="right" vertical="center" wrapText="1"/>
    </xf>
    <xf numFmtId="2" fontId="3" fillId="0" borderId="60" xfId="0" applyNumberFormat="1" applyFont="1" applyBorder="1" applyAlignment="1">
      <alignment horizontal="right" vertical="center"/>
    </xf>
    <xf numFmtId="2" fontId="3" fillId="0" borderId="80" xfId="0" applyNumberFormat="1" applyFont="1" applyBorder="1" applyAlignment="1">
      <alignment horizontal="right" vertical="center"/>
    </xf>
    <xf numFmtId="2" fontId="3" fillId="0" borderId="74" xfId="0" applyNumberFormat="1" applyFont="1" applyBorder="1" applyAlignment="1">
      <alignment horizontal="right" vertical="center"/>
    </xf>
    <xf numFmtId="2" fontId="22" fillId="2" borderId="106" xfId="0" applyNumberFormat="1" applyFont="1" applyFill="1" applyBorder="1" applyAlignment="1">
      <alignment horizontal="right" vertical="center" wrapText="1"/>
    </xf>
    <xf numFmtId="2" fontId="3" fillId="0" borderId="55" xfId="0" applyNumberFormat="1" applyFont="1" applyBorder="1" applyAlignment="1">
      <alignment horizontal="right" vertical="center"/>
    </xf>
    <xf numFmtId="2" fontId="3" fillId="0" borderId="73" xfId="0" applyNumberFormat="1" applyFont="1" applyBorder="1" applyAlignment="1">
      <alignment horizontal="right" vertical="center"/>
    </xf>
    <xf numFmtId="2" fontId="2" fillId="8" borderId="95" xfId="0" applyNumberFormat="1" applyFont="1" applyFill="1" applyBorder="1" applyAlignment="1">
      <alignment horizontal="right" vertical="center"/>
    </xf>
    <xf numFmtId="2" fontId="3" fillId="0" borderId="81" xfId="0" applyNumberFormat="1" applyFont="1" applyBorder="1" applyAlignment="1">
      <alignment horizontal="right" vertical="center"/>
    </xf>
    <xf numFmtId="2" fontId="2" fillId="2" borderId="37" xfId="0" applyNumberFormat="1" applyFont="1" applyFill="1" applyBorder="1" applyAlignment="1">
      <alignment horizontal="right" vertical="center"/>
    </xf>
    <xf numFmtId="2" fontId="2" fillId="8" borderId="84" xfId="0" applyNumberFormat="1" applyFont="1" applyFill="1" applyBorder="1" applyAlignment="1">
      <alignment horizontal="right" vertical="center"/>
    </xf>
    <xf numFmtId="2" fontId="3" fillId="0" borderId="84" xfId="0" applyNumberFormat="1" applyFont="1" applyBorder="1" applyAlignment="1">
      <alignment horizontal="right" vertical="center"/>
    </xf>
    <xf numFmtId="2" fontId="2" fillId="8" borderId="95" xfId="0" applyNumberFormat="1" applyFont="1" applyFill="1" applyBorder="1" applyAlignment="1">
      <alignment horizontal="right" vertical="center" wrapText="1"/>
    </xf>
    <xf numFmtId="2" fontId="2" fillId="2" borderId="37" xfId="0" applyNumberFormat="1" applyFont="1" applyFill="1" applyBorder="1" applyAlignment="1">
      <alignment horizontal="right" vertical="center" wrapText="1"/>
    </xf>
    <xf numFmtId="1" fontId="3" fillId="0" borderId="53" xfId="0" applyNumberFormat="1" applyFont="1" applyBorder="1" applyAlignment="1">
      <alignment horizontal="right" vertical="center" wrapText="1"/>
    </xf>
    <xf numFmtId="1" fontId="3" fillId="0" borderId="55" xfId="0" applyNumberFormat="1" applyFont="1" applyBorder="1" applyAlignment="1">
      <alignment horizontal="right" vertical="center" wrapText="1"/>
    </xf>
    <xf numFmtId="1" fontId="3" fillId="0" borderId="57" xfId="0" applyNumberFormat="1" applyFont="1" applyBorder="1" applyAlignment="1">
      <alignment horizontal="right" vertical="center" wrapText="1"/>
    </xf>
    <xf numFmtId="169" fontId="3" fillId="0" borderId="86" xfId="0" applyNumberFormat="1" applyFont="1" applyBorder="1" applyAlignment="1">
      <alignment horizontal="right" vertical="center"/>
    </xf>
    <xf numFmtId="169" fontId="3" fillId="0" borderId="100" xfId="0" applyNumberFormat="1" applyFont="1" applyBorder="1" applyAlignment="1">
      <alignment horizontal="right" vertical="center"/>
    </xf>
    <xf numFmtId="2" fontId="22" fillId="0" borderId="65" xfId="0" applyNumberFormat="1" applyFont="1" applyBorder="1" applyAlignment="1">
      <alignment horizontal="left" vertical="center" wrapText="1"/>
    </xf>
    <xf numFmtId="2" fontId="22" fillId="0" borderId="76" xfId="0" applyNumberFormat="1" applyFont="1" applyBorder="1" applyAlignment="1">
      <alignment horizontal="left" vertical="center" wrapText="1"/>
    </xf>
    <xf numFmtId="171" fontId="2" fillId="0" borderId="99" xfId="0" applyNumberFormat="1" applyFont="1" applyBorder="1" applyAlignment="1">
      <alignment horizontal="right" vertical="center" wrapText="1"/>
    </xf>
    <xf numFmtId="0" fontId="22" fillId="0" borderId="5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169" fontId="16" fillId="0" borderId="0" xfId="0" applyNumberFormat="1" applyFont="1"/>
    <xf numFmtId="0" fontId="6" fillId="0" borderId="0" xfId="0" applyFont="1" applyAlignment="1">
      <alignment horizontal="right"/>
    </xf>
    <xf numFmtId="1" fontId="25" fillId="8" borderId="77" xfId="0" applyNumberFormat="1" applyFont="1" applyFill="1" applyBorder="1" applyAlignment="1">
      <alignment horizontal="right" vertical="center" wrapText="1"/>
    </xf>
    <xf numFmtId="170" fontId="3" fillId="0" borderId="62" xfId="0" applyNumberFormat="1" applyFont="1" applyBorder="1" applyAlignment="1">
      <alignment horizontal="right" vertical="center" wrapText="1"/>
    </xf>
    <xf numFmtId="2" fontId="3" fillId="0" borderId="69" xfId="0" applyNumberFormat="1" applyFont="1" applyBorder="1" applyAlignment="1">
      <alignment horizontal="right" vertical="center" wrapText="1"/>
    </xf>
    <xf numFmtId="1" fontId="2" fillId="8" borderId="64" xfId="0" applyNumberFormat="1" applyFont="1" applyFill="1" applyBorder="1" applyAlignment="1">
      <alignment horizontal="right" vertical="center" wrapText="1"/>
    </xf>
    <xf numFmtId="2" fontId="2" fillId="8" borderId="76" xfId="0" applyNumberFormat="1" applyFont="1" applyFill="1" applyBorder="1" applyAlignment="1">
      <alignment horizontal="right" vertical="center" wrapText="1"/>
    </xf>
    <xf numFmtId="1" fontId="2" fillId="8" borderId="77" xfId="0" applyNumberFormat="1" applyFont="1" applyFill="1" applyBorder="1" applyAlignment="1">
      <alignment horizontal="right" vertical="center" wrapText="1"/>
    </xf>
    <xf numFmtId="170" fontId="2" fillId="8" borderId="76" xfId="0" applyNumberFormat="1" applyFont="1" applyFill="1" applyBorder="1" applyAlignment="1">
      <alignment horizontal="right" vertical="center" wrapText="1"/>
    </xf>
    <xf numFmtId="2" fontId="2" fillId="8" borderId="65" xfId="0" applyNumberFormat="1" applyFont="1" applyFill="1" applyBorder="1" applyAlignment="1">
      <alignment horizontal="right" vertical="center" wrapText="1"/>
    </xf>
    <xf numFmtId="2" fontId="2" fillId="8" borderId="91" xfId="0" applyNumberFormat="1" applyFont="1" applyFill="1" applyBorder="1" applyAlignment="1">
      <alignment horizontal="right" vertical="center" wrapText="1"/>
    </xf>
    <xf numFmtId="2" fontId="22" fillId="0" borderId="91" xfId="0" applyNumberFormat="1" applyFont="1" applyBorder="1" applyAlignment="1">
      <alignment horizontal="right" vertical="center" wrapText="1"/>
    </xf>
    <xf numFmtId="170" fontId="3" fillId="0" borderId="32" xfId="0" applyNumberFormat="1" applyFont="1" applyBorder="1"/>
    <xf numFmtId="170" fontId="3" fillId="0" borderId="112" xfId="0" applyNumberFormat="1" applyFont="1" applyBorder="1"/>
    <xf numFmtId="170" fontId="3" fillId="0" borderId="45" xfId="0" applyNumberFormat="1" applyFont="1" applyBorder="1"/>
    <xf numFmtId="170" fontId="3" fillId="0" borderId="2" xfId="0" applyNumberFormat="1" applyFont="1" applyBorder="1"/>
    <xf numFmtId="0" fontId="3" fillId="0" borderId="0" xfId="0" applyFont="1" applyAlignment="1">
      <alignment vertical="center"/>
    </xf>
    <xf numFmtId="0" fontId="3" fillId="0" borderId="104" xfId="0" applyFont="1" applyBorder="1" applyAlignment="1">
      <alignment vertical="center"/>
    </xf>
    <xf numFmtId="2" fontId="3" fillId="0" borderId="33" xfId="0" applyNumberFormat="1" applyFont="1" applyBorder="1" applyAlignment="1">
      <alignment vertical="center" wrapText="1"/>
    </xf>
    <xf numFmtId="2" fontId="3" fillId="0" borderId="39" xfId="0" applyNumberFormat="1" applyFont="1" applyBorder="1" applyAlignment="1">
      <alignment vertical="center" wrapText="1"/>
    </xf>
    <xf numFmtId="2" fontId="22" fillId="10" borderId="40" xfId="0" applyNumberFormat="1" applyFont="1" applyFill="1" applyBorder="1" applyAlignment="1">
      <alignment vertical="center" wrapText="1"/>
    </xf>
    <xf numFmtId="0" fontId="22" fillId="10" borderId="48" xfId="0" applyFont="1" applyFill="1" applyBorder="1" applyAlignment="1">
      <alignment vertical="center"/>
    </xf>
    <xf numFmtId="2" fontId="22" fillId="10" borderId="102" xfId="0" applyNumberFormat="1" applyFont="1" applyFill="1" applyBorder="1" applyAlignment="1">
      <alignment horizontal="left" vertical="center" wrapText="1"/>
    </xf>
    <xf numFmtId="1" fontId="22" fillId="10" borderId="87" xfId="0" applyNumberFormat="1" applyFont="1" applyFill="1" applyBorder="1" applyAlignment="1">
      <alignment horizontal="right" vertical="center" wrapText="1"/>
    </xf>
    <xf numFmtId="1" fontId="22" fillId="10" borderId="88" xfId="0" applyNumberFormat="1" applyFont="1" applyFill="1" applyBorder="1" applyAlignment="1">
      <alignment horizontal="right" vertical="center" wrapText="1"/>
    </xf>
    <xf numFmtId="1" fontId="22" fillId="10" borderId="61" xfId="0" applyNumberFormat="1" applyFont="1" applyFill="1" applyBorder="1" applyAlignment="1">
      <alignment horizontal="right" vertical="center" wrapText="1"/>
    </xf>
    <xf numFmtId="1" fontId="22" fillId="10" borderId="54" xfId="0" applyNumberFormat="1" applyFont="1" applyFill="1" applyBorder="1" applyAlignment="1">
      <alignment vertical="center"/>
    </xf>
    <xf numFmtId="170" fontId="22" fillId="10" borderId="61" xfId="0" applyNumberFormat="1" applyFont="1" applyFill="1" applyBorder="1" applyAlignment="1">
      <alignment vertical="center"/>
    </xf>
    <xf numFmtId="2" fontId="22" fillId="10" borderId="49" xfId="0" applyNumberFormat="1" applyFont="1" applyFill="1" applyBorder="1" applyAlignment="1">
      <alignment horizontal="right" vertical="center" wrapText="1"/>
    </xf>
    <xf numFmtId="1" fontId="22" fillId="10" borderId="68" xfId="0" applyNumberFormat="1" applyFont="1" applyFill="1" applyBorder="1" applyAlignment="1">
      <alignment horizontal="right" vertical="center" wrapText="1"/>
    </xf>
    <xf numFmtId="2" fontId="22" fillId="10" borderId="102" xfId="0" applyNumberFormat="1" applyFont="1" applyFill="1" applyBorder="1" applyAlignment="1">
      <alignment horizontal="right" vertical="center"/>
    </xf>
    <xf numFmtId="169" fontId="22" fillId="10" borderId="102" xfId="1" applyNumberFormat="1" applyFont="1" applyFill="1" applyBorder="1" applyAlignment="1">
      <alignment horizontal="right" vertical="center"/>
    </xf>
    <xf numFmtId="169" fontId="22" fillId="10" borderId="48" xfId="1" applyNumberFormat="1" applyFont="1" applyFill="1" applyBorder="1" applyAlignment="1">
      <alignment horizontal="right" vertical="center"/>
    </xf>
    <xf numFmtId="169" fontId="22" fillId="10" borderId="68" xfId="0" applyNumberFormat="1" applyFont="1" applyFill="1" applyBorder="1" applyAlignment="1">
      <alignment horizontal="right" vertical="center"/>
    </xf>
    <xf numFmtId="0" fontId="22" fillId="10" borderId="62" xfId="0" applyFont="1" applyFill="1" applyBorder="1" applyAlignment="1">
      <alignment horizontal="left" vertical="center" wrapText="1"/>
    </xf>
    <xf numFmtId="1" fontId="3" fillId="10" borderId="104" xfId="0" applyNumberFormat="1" applyFont="1" applyFill="1" applyBorder="1" applyAlignment="1">
      <alignment horizontal="right" vertical="center" wrapText="1"/>
    </xf>
    <xf numFmtId="1" fontId="3" fillId="10" borderId="55" xfId="0" applyNumberFormat="1" applyFont="1" applyFill="1" applyBorder="1" applyAlignment="1">
      <alignment horizontal="right" vertical="center" wrapText="1"/>
    </xf>
    <xf numFmtId="1" fontId="3" fillId="10" borderId="56" xfId="0" applyNumberFormat="1" applyFont="1" applyFill="1" applyBorder="1" applyAlignment="1">
      <alignment horizontal="right" vertical="center" wrapText="1"/>
    </xf>
    <xf numFmtId="170" fontId="3" fillId="10" borderId="56" xfId="0" applyNumberFormat="1" applyFont="1" applyFill="1" applyBorder="1" applyAlignment="1">
      <alignment horizontal="right" vertical="center" wrapText="1"/>
    </xf>
    <xf numFmtId="2" fontId="3" fillId="10" borderId="70" xfId="0" applyNumberFormat="1" applyFont="1" applyFill="1" applyBorder="1" applyAlignment="1">
      <alignment horizontal="right" vertical="center" wrapText="1"/>
    </xf>
    <xf numFmtId="2" fontId="3" fillId="10" borderId="74" xfId="0" applyNumberFormat="1" applyFont="1" applyFill="1" applyBorder="1" applyAlignment="1">
      <alignment horizontal="right" vertical="center"/>
    </xf>
    <xf numFmtId="169" fontId="3" fillId="10" borderId="62" xfId="1" applyNumberFormat="1" applyFont="1" applyFill="1" applyBorder="1" applyAlignment="1">
      <alignment horizontal="right" vertical="center"/>
    </xf>
    <xf numFmtId="169" fontId="3" fillId="10" borderId="79" xfId="1" applyNumberFormat="1" applyFont="1" applyFill="1" applyBorder="1" applyAlignment="1">
      <alignment horizontal="right" vertical="center"/>
    </xf>
    <xf numFmtId="169" fontId="3" fillId="10" borderId="69" xfId="0" applyNumberFormat="1" applyFont="1" applyFill="1" applyBorder="1" applyAlignment="1">
      <alignment horizontal="right" vertical="center"/>
    </xf>
    <xf numFmtId="1" fontId="3" fillId="0" borderId="104" xfId="0" applyNumberFormat="1" applyFont="1" applyBorder="1" applyAlignment="1">
      <alignment horizontal="right" vertical="center" wrapText="1"/>
    </xf>
    <xf numFmtId="2" fontId="3" fillId="0" borderId="79" xfId="0" applyNumberFormat="1" applyFont="1" applyBorder="1" applyAlignment="1">
      <alignment vertical="center" wrapText="1"/>
    </xf>
    <xf numFmtId="2" fontId="3" fillId="0" borderId="66" xfId="0" applyNumberFormat="1" applyFont="1" applyBorder="1" applyAlignment="1">
      <alignment vertical="center" wrapText="1"/>
    </xf>
    <xf numFmtId="2" fontId="1" fillId="10" borderId="56" xfId="0" applyNumberFormat="1" applyFont="1" applyFill="1" applyBorder="1" applyAlignment="1">
      <alignment horizontal="left" vertical="center" wrapText="1"/>
    </xf>
    <xf numFmtId="1" fontId="3" fillId="10" borderId="103" xfId="0" applyNumberFormat="1" applyFont="1" applyFill="1" applyBorder="1" applyAlignment="1">
      <alignment horizontal="right" vertical="center" wrapText="1"/>
    </xf>
    <xf numFmtId="1" fontId="3" fillId="10" borderId="70" xfId="0" applyNumberFormat="1" applyFont="1" applyFill="1" applyBorder="1" applyAlignment="1">
      <alignment horizontal="right" vertical="center" wrapText="1"/>
    </xf>
    <xf numFmtId="2" fontId="3" fillId="10" borderId="60" xfId="0" applyNumberFormat="1" applyFont="1" applyFill="1" applyBorder="1" applyAlignment="1">
      <alignment horizontal="right" vertical="center"/>
    </xf>
    <xf numFmtId="169" fontId="3" fillId="10" borderId="56" xfId="1" applyNumberFormat="1" applyFont="1" applyFill="1" applyBorder="1" applyAlignment="1">
      <alignment horizontal="right" vertical="center"/>
    </xf>
    <xf numFmtId="2" fontId="1" fillId="10" borderId="62" xfId="0" applyNumberFormat="1" applyFont="1" applyFill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" fillId="0" borderId="65" xfId="0" applyNumberFormat="1" applyFont="1" applyBorder="1" applyAlignment="1">
      <alignment vertical="center" wrapText="1"/>
    </xf>
    <xf numFmtId="2" fontId="3" fillId="0" borderId="76" xfId="0" applyNumberFormat="1" applyFont="1" applyBorder="1" applyAlignment="1">
      <alignment vertical="center" wrapText="1"/>
    </xf>
    <xf numFmtId="2" fontId="3" fillId="0" borderId="62" xfId="0" applyNumberFormat="1" applyFont="1" applyBorder="1" applyAlignment="1">
      <alignment vertical="center" wrapText="1"/>
    </xf>
    <xf numFmtId="2" fontId="1" fillId="3" borderId="48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2" fontId="1" fillId="3" borderId="50" xfId="0" applyNumberFormat="1" applyFont="1" applyFill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101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left" vertical="center" wrapText="1"/>
    </xf>
    <xf numFmtId="0" fontId="22" fillId="0" borderId="79" xfId="0" applyFont="1" applyBorder="1" applyAlignment="1">
      <alignment horizontal="left" vertical="center" wrapText="1"/>
    </xf>
    <xf numFmtId="2" fontId="17" fillId="7" borderId="37" xfId="0" applyNumberFormat="1" applyFont="1" applyFill="1" applyBorder="1" applyAlignment="1">
      <alignment horizontal="center" vertical="center" wrapText="1"/>
    </xf>
    <xf numFmtId="2" fontId="17" fillId="7" borderId="67" xfId="0" applyNumberFormat="1" applyFont="1" applyFill="1" applyBorder="1" applyAlignment="1">
      <alignment horizontal="center" vertical="center" wrapText="1"/>
    </xf>
    <xf numFmtId="2" fontId="17" fillId="7" borderId="92" xfId="0" applyNumberFormat="1" applyFont="1" applyFill="1" applyBorder="1" applyAlignment="1">
      <alignment horizontal="center" vertical="center" wrapText="1"/>
    </xf>
    <xf numFmtId="169" fontId="2" fillId="0" borderId="61" xfId="0" applyNumberFormat="1" applyFont="1" applyBorder="1" applyAlignment="1">
      <alignment horizontal="center" vertical="center" wrapText="1" readingOrder="1"/>
    </xf>
    <xf numFmtId="169" fontId="2" fillId="0" borderId="76" xfId="0" applyNumberFormat="1" applyFont="1" applyBorder="1" applyAlignment="1">
      <alignment horizontal="center" vertical="center" wrapText="1" readingOrder="1"/>
    </xf>
    <xf numFmtId="2" fontId="2" fillId="0" borderId="67" xfId="0" applyNumberFormat="1" applyFont="1" applyBorder="1" applyAlignment="1">
      <alignment horizontal="left" vertical="center" wrapText="1"/>
    </xf>
    <xf numFmtId="2" fontId="2" fillId="0" borderId="99" xfId="0" applyNumberFormat="1" applyFont="1" applyBorder="1" applyAlignment="1">
      <alignment horizontal="left" vertical="center" wrapText="1"/>
    </xf>
    <xf numFmtId="2" fontId="2" fillId="8" borderId="67" xfId="0" applyNumberFormat="1" applyFont="1" applyFill="1" applyBorder="1" applyAlignment="1">
      <alignment vertical="center" wrapText="1"/>
    </xf>
    <xf numFmtId="2" fontId="2" fillId="8" borderId="99" xfId="0" applyNumberFormat="1" applyFont="1" applyFill="1" applyBorder="1" applyAlignment="1">
      <alignment vertical="center" wrapText="1"/>
    </xf>
    <xf numFmtId="2" fontId="2" fillId="2" borderId="37" xfId="0" applyNumberFormat="1" applyFont="1" applyFill="1" applyBorder="1" applyAlignment="1">
      <alignment horizontal="left" vertical="center" wrapText="1"/>
    </xf>
    <xf numFmtId="2" fontId="2" fillId="2" borderId="67" xfId="0" applyNumberFormat="1" applyFont="1" applyFill="1" applyBorder="1" applyAlignment="1">
      <alignment horizontal="left" vertical="center" wrapText="1"/>
    </xf>
    <xf numFmtId="2" fontId="2" fillId="2" borderId="99" xfId="0" applyNumberFormat="1" applyFont="1" applyFill="1" applyBorder="1" applyAlignment="1">
      <alignment horizontal="left" vertical="center" wrapText="1"/>
    </xf>
    <xf numFmtId="1" fontId="2" fillId="9" borderId="37" xfId="0" applyNumberFormat="1" applyFont="1" applyFill="1" applyBorder="1" applyAlignment="1">
      <alignment horizontal="center" vertical="center" wrapText="1"/>
    </xf>
    <xf numFmtId="1" fontId="2" fillId="9" borderId="67" xfId="0" applyNumberFormat="1" applyFont="1" applyFill="1" applyBorder="1" applyAlignment="1">
      <alignment horizontal="center" vertical="center" wrapText="1"/>
    </xf>
    <xf numFmtId="1" fontId="2" fillId="9" borderId="92" xfId="0" applyNumberFormat="1" applyFont="1" applyFill="1" applyBorder="1" applyAlignment="1">
      <alignment horizontal="center" vertical="center" wrapText="1"/>
    </xf>
    <xf numFmtId="2" fontId="3" fillId="0" borderId="49" xfId="0" applyNumberFormat="1" applyFont="1" applyBorder="1" applyAlignment="1">
      <alignment horizontal="center" vertical="center" wrapText="1"/>
    </xf>
    <xf numFmtId="2" fontId="3" fillId="0" borderId="101" xfId="0" applyNumberFormat="1" applyFont="1" applyBorder="1" applyAlignment="1">
      <alignment horizontal="center" vertical="center" wrapText="1"/>
    </xf>
    <xf numFmtId="2" fontId="3" fillId="0" borderId="113" xfId="0" applyNumberFormat="1" applyFont="1" applyBorder="1" applyAlignment="1">
      <alignment horizontal="center" vertical="center" wrapText="1"/>
    </xf>
    <xf numFmtId="0" fontId="22" fillId="0" borderId="113" xfId="0" applyFont="1" applyBorder="1" applyAlignment="1">
      <alignment horizontal="center" vertical="center" wrapText="1"/>
    </xf>
    <xf numFmtId="2" fontId="2" fillId="8" borderId="37" xfId="0" applyNumberFormat="1" applyFont="1" applyFill="1" applyBorder="1" applyAlignment="1">
      <alignment horizontal="left" vertical="center" wrapText="1"/>
    </xf>
    <xf numFmtId="2" fontId="2" fillId="8" borderId="67" xfId="0" applyNumberFormat="1" applyFont="1" applyFill="1" applyBorder="1" applyAlignment="1">
      <alignment horizontal="left" vertical="center" wrapText="1"/>
    </xf>
    <xf numFmtId="2" fontId="2" fillId="8" borderId="99" xfId="0" applyNumberFormat="1" applyFont="1" applyFill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2" fontId="2" fillId="8" borderId="37" xfId="0" applyNumberFormat="1" applyFont="1" applyFill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 readingOrder="1"/>
    </xf>
    <xf numFmtId="0" fontId="3" fillId="0" borderId="106" xfId="0" applyFont="1" applyBorder="1" applyAlignment="1">
      <alignment horizontal="center" vertical="center" wrapText="1"/>
    </xf>
    <xf numFmtId="0" fontId="17" fillId="9" borderId="37" xfId="0" applyFont="1" applyFill="1" applyBorder="1" applyAlignment="1">
      <alignment horizontal="center" vertical="center" wrapText="1"/>
    </xf>
    <xf numFmtId="0" fontId="17" fillId="9" borderId="67" xfId="0" applyFont="1" applyFill="1" applyBorder="1" applyAlignment="1">
      <alignment horizontal="center" vertical="center" wrapText="1"/>
    </xf>
    <xf numFmtId="0" fontId="17" fillId="9" borderId="92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left" vertical="center" wrapText="1"/>
    </xf>
    <xf numFmtId="0" fontId="25" fillId="2" borderId="99" xfId="0" applyFont="1" applyFill="1" applyBorder="1" applyAlignment="1">
      <alignment horizontal="left" vertical="center" wrapText="1"/>
    </xf>
    <xf numFmtId="0" fontId="22" fillId="0" borderId="102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10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 readingOrder="1"/>
    </xf>
    <xf numFmtId="0" fontId="2" fillId="0" borderId="100" xfId="0" applyFont="1" applyBorder="1" applyAlignment="1">
      <alignment horizontal="center" vertical="center" wrapText="1" readingOrder="1"/>
    </xf>
    <xf numFmtId="0" fontId="2" fillId="0" borderId="61" xfId="0" applyFont="1" applyBorder="1" applyAlignment="1">
      <alignment horizontal="center" vertical="center" wrapText="1" readingOrder="1"/>
    </xf>
    <xf numFmtId="0" fontId="2" fillId="0" borderId="90" xfId="0" applyFont="1" applyBorder="1" applyAlignment="1">
      <alignment horizontal="center" vertical="center" wrapText="1" readingOrder="1"/>
    </xf>
    <xf numFmtId="169" fontId="2" fillId="0" borderId="68" xfId="0" applyNumberFormat="1" applyFont="1" applyBorder="1" applyAlignment="1">
      <alignment horizontal="center" vertical="center" wrapText="1" readingOrder="1"/>
    </xf>
    <xf numFmtId="169" fontId="2" fillId="0" borderId="91" xfId="0" applyNumberFormat="1" applyFont="1" applyBorder="1" applyAlignment="1">
      <alignment horizontal="center" vertical="center" wrapText="1" readingOrder="1"/>
    </xf>
    <xf numFmtId="1" fontId="2" fillId="0" borderId="68" xfId="0" applyNumberFormat="1" applyFont="1" applyBorder="1" applyAlignment="1">
      <alignment horizontal="center" vertical="center" wrapText="1" readingOrder="1"/>
    </xf>
    <xf numFmtId="1" fontId="2" fillId="0" borderId="100" xfId="0" applyNumberFormat="1" applyFont="1" applyBorder="1" applyAlignment="1">
      <alignment horizontal="center" vertical="center" wrapText="1" readingOrder="1"/>
    </xf>
    <xf numFmtId="169" fontId="2" fillId="0" borderId="90" xfId="0" applyNumberFormat="1" applyFont="1" applyBorder="1" applyAlignment="1">
      <alignment horizontal="center" vertical="center" wrapText="1" readingOrder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2" fontId="3" fillId="0" borderId="88" xfId="0" applyNumberFormat="1" applyFont="1" applyBorder="1" applyAlignment="1">
      <alignment horizontal="center" vertical="center" wrapText="1"/>
    </xf>
    <xf numFmtId="2" fontId="3" fillId="0" borderId="89" xfId="0" applyNumberFormat="1" applyFont="1" applyBorder="1" applyAlignment="1">
      <alignment horizontal="center" vertical="center" wrapText="1"/>
    </xf>
    <xf numFmtId="2" fontId="3" fillId="0" borderId="64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/>
    </xf>
    <xf numFmtId="2" fontId="3" fillId="0" borderId="61" xfId="0" applyNumberFormat="1" applyFont="1" applyBorder="1" applyAlignment="1">
      <alignment horizontal="left" vertical="center" wrapText="1"/>
    </xf>
    <xf numFmtId="2" fontId="3" fillId="0" borderId="76" xfId="0" applyNumberFormat="1" applyFont="1" applyBorder="1" applyAlignment="1">
      <alignment horizontal="left" vertical="center" wrapText="1"/>
    </xf>
    <xf numFmtId="2" fontId="3" fillId="0" borderId="62" xfId="0" applyNumberFormat="1" applyFont="1" applyBorder="1" applyAlignment="1">
      <alignment horizontal="left" vertical="center" wrapText="1"/>
    </xf>
    <xf numFmtId="2" fontId="18" fillId="9" borderId="37" xfId="0" applyNumberFormat="1" applyFont="1" applyFill="1" applyBorder="1" applyAlignment="1">
      <alignment horizontal="center" vertical="center" wrapText="1"/>
    </xf>
    <xf numFmtId="2" fontId="18" fillId="9" borderId="67" xfId="0" applyNumberFormat="1" applyFont="1" applyFill="1" applyBorder="1" applyAlignment="1">
      <alignment horizontal="center" vertical="center" wrapText="1"/>
    </xf>
    <xf numFmtId="2" fontId="18" fillId="9" borderId="9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0" fillId="0" borderId="0" xfId="2" applyAlignment="1">
      <alignment vertical="center" wrapText="1"/>
    </xf>
    <xf numFmtId="0" fontId="13" fillId="4" borderId="33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13" fillId="4" borderId="32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wrapText="1"/>
    </xf>
    <xf numFmtId="0" fontId="13" fillId="4" borderId="48" xfId="0" applyFont="1" applyFill="1" applyBorder="1" applyAlignment="1">
      <alignment horizontal="center" wrapText="1"/>
    </xf>
    <xf numFmtId="0" fontId="13" fillId="4" borderId="49" xfId="0" applyFont="1" applyFill="1" applyBorder="1" applyAlignment="1">
      <alignment horizont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" fontId="3" fillId="10" borderId="0" xfId="0" applyNumberFormat="1" applyFont="1" applyFill="1" applyAlignment="1">
      <alignment horizontal="right" vertical="center" wrapText="1"/>
    </xf>
    <xf numFmtId="170" fontId="0" fillId="0" borderId="0" xfId="0" applyNumberFormat="1"/>
    <xf numFmtId="1" fontId="3" fillId="0" borderId="2" xfId="0" applyNumberFormat="1" applyFont="1" applyBorder="1"/>
    <xf numFmtId="1" fontId="6" fillId="0" borderId="0" xfId="0" applyNumberFormat="1" applyFont="1" applyAlignment="1">
      <alignment wrapText="1"/>
    </xf>
    <xf numFmtId="169" fontId="3" fillId="10" borderId="76" xfId="1" applyNumberFormat="1" applyFont="1" applyFill="1" applyBorder="1" applyAlignment="1">
      <alignment horizontal="right" vertical="center"/>
    </xf>
    <xf numFmtId="169" fontId="22" fillId="0" borderId="69" xfId="0" applyNumberFormat="1" applyFont="1" applyBorder="1" applyAlignment="1">
      <alignment horizontal="right" vertical="center"/>
    </xf>
    <xf numFmtId="169" fontId="22" fillId="10" borderId="69" xfId="0" applyNumberFormat="1" applyFont="1" applyFill="1" applyBorder="1" applyAlignment="1">
      <alignment horizontal="right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ls.gov/oes/current/oes_nat.ht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Z155"/>
  <sheetViews>
    <sheetView tabSelected="1" topLeftCell="C1" zoomScale="90" zoomScaleNormal="90" zoomScaleSheetLayoutView="76" workbookViewId="0">
      <pane xSplit="3" ySplit="4" topLeftCell="F5" activePane="bottomRight" state="frozen"/>
      <selection activeCell="C1" sqref="C1"/>
      <selection pane="topRight" activeCell="F1" sqref="F1"/>
      <selection pane="bottomLeft" activeCell="C5" sqref="C5"/>
      <selection pane="bottomRight" activeCell="C5" sqref="C5"/>
    </sheetView>
  </sheetViews>
  <sheetFormatPr defaultColWidth="9.21875" defaultRowHeight="14.4" x14ac:dyDescent="0.3"/>
  <cols>
    <col min="1" max="1" width="11.5546875" style="102" customWidth="1"/>
    <col min="2" max="2" width="13.5546875" style="102" customWidth="1"/>
    <col min="3" max="3" width="28.21875" style="102" customWidth="1"/>
    <col min="4" max="4" width="38.21875" customWidth="1"/>
    <col min="5" max="5" width="7.77734375" style="125" customWidth="1"/>
    <col min="6" max="6" width="13.21875" style="126" customWidth="1"/>
    <col min="7" max="7" width="13.77734375" customWidth="1"/>
    <col min="8" max="8" width="10.21875" customWidth="1"/>
    <col min="9" max="9" width="13.21875" customWidth="1"/>
    <col min="10" max="10" width="11.5546875" customWidth="1"/>
    <col min="11" max="11" width="13" style="101" customWidth="1"/>
    <col min="12" max="12" width="12" customWidth="1"/>
    <col min="13" max="13" width="10.21875" customWidth="1"/>
    <col min="14" max="14" width="11.77734375" customWidth="1"/>
    <col min="15" max="15" width="8.77734375" style="107" customWidth="1"/>
    <col min="16" max="16" width="11.77734375" customWidth="1"/>
    <col min="17" max="18" width="9.21875" style="130" customWidth="1"/>
    <col min="19" max="19" width="13.21875" style="130" customWidth="1"/>
    <col min="20" max="20" width="9.21875" customWidth="1"/>
  </cols>
  <sheetData>
    <row r="1" spans="1:20" ht="18.600000000000001" thickBot="1" x14ac:dyDescent="0.4">
      <c r="A1" s="119" t="s">
        <v>132</v>
      </c>
      <c r="C1" s="119"/>
      <c r="D1" s="119"/>
      <c r="E1" s="123"/>
      <c r="F1" s="123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28"/>
      <c r="R1" s="128"/>
      <c r="S1" s="128"/>
      <c r="T1" s="121"/>
    </row>
    <row r="2" spans="1:20" s="99" customFormat="1" ht="25.35" customHeight="1" x14ac:dyDescent="0.3">
      <c r="A2" s="488" t="s">
        <v>12</v>
      </c>
      <c r="B2" s="478" t="s">
        <v>123</v>
      </c>
      <c r="C2" s="490" t="s">
        <v>174</v>
      </c>
      <c r="D2" s="490" t="s">
        <v>1</v>
      </c>
      <c r="E2" s="494" t="s">
        <v>5</v>
      </c>
      <c r="F2" s="497" t="s">
        <v>2</v>
      </c>
      <c r="G2" s="498"/>
      <c r="H2" s="498"/>
      <c r="I2" s="498"/>
      <c r="J2" s="499"/>
      <c r="K2" s="497" t="s">
        <v>131</v>
      </c>
      <c r="L2" s="498"/>
      <c r="M2" s="498"/>
      <c r="N2" s="498"/>
      <c r="O2" s="499"/>
      <c r="P2" s="478" t="s">
        <v>130</v>
      </c>
      <c r="Q2" s="453" t="s">
        <v>14</v>
      </c>
      <c r="R2" s="453" t="s">
        <v>165</v>
      </c>
      <c r="S2" s="492" t="s">
        <v>15</v>
      </c>
    </row>
    <row r="3" spans="1:20" s="97" customFormat="1" ht="49.5" customHeight="1" thickBot="1" x14ac:dyDescent="0.35">
      <c r="A3" s="489"/>
      <c r="B3" s="479"/>
      <c r="C3" s="491"/>
      <c r="D3" s="491"/>
      <c r="E3" s="495"/>
      <c r="F3" s="134" t="s">
        <v>124</v>
      </c>
      <c r="G3" s="135" t="s">
        <v>125</v>
      </c>
      <c r="H3" s="135" t="s">
        <v>126</v>
      </c>
      <c r="I3" s="135" t="s">
        <v>127</v>
      </c>
      <c r="J3" s="136" t="s">
        <v>128</v>
      </c>
      <c r="K3" s="137" t="s">
        <v>129</v>
      </c>
      <c r="L3" s="135" t="s">
        <v>125</v>
      </c>
      <c r="M3" s="135" t="s">
        <v>126</v>
      </c>
      <c r="N3" s="135" t="s">
        <v>127</v>
      </c>
      <c r="O3" s="138" t="s">
        <v>128</v>
      </c>
      <c r="P3" s="500"/>
      <c r="Q3" s="454"/>
      <c r="R3" s="496"/>
      <c r="S3" s="493"/>
    </row>
    <row r="4" spans="1:20" s="98" customFormat="1" ht="26.1" customHeight="1" thickBot="1" x14ac:dyDescent="0.35">
      <c r="A4" s="480" t="s">
        <v>166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2"/>
    </row>
    <row r="5" spans="1:20" s="98" customFormat="1" ht="26.1" customHeight="1" x14ac:dyDescent="0.3">
      <c r="A5" s="446" t="s">
        <v>166</v>
      </c>
      <c r="B5" s="485" t="s">
        <v>160</v>
      </c>
      <c r="C5" s="267" t="s">
        <v>178</v>
      </c>
      <c r="D5" s="316" t="s">
        <v>179</v>
      </c>
      <c r="E5" s="256">
        <v>1</v>
      </c>
      <c r="F5" s="259">
        <v>1</v>
      </c>
      <c r="G5" s="260">
        <v>2</v>
      </c>
      <c r="H5" s="142">
        <f t="shared" ref="H5:H7" si="0">F5*G5</f>
        <v>2</v>
      </c>
      <c r="I5" s="223">
        <v>8.3500000000000005E-2</v>
      </c>
      <c r="J5" s="351">
        <f t="shared" ref="J5:J7" si="1">I5*H5</f>
        <v>0.16700000000000001</v>
      </c>
      <c r="K5" s="261">
        <f t="shared" ref="K5:K9" si="2">E5-F5</f>
        <v>0</v>
      </c>
      <c r="L5" s="260">
        <v>0</v>
      </c>
      <c r="M5" s="142">
        <f t="shared" ref="M5:M7" si="3">K5*L5</f>
        <v>0</v>
      </c>
      <c r="N5" s="260">
        <v>0</v>
      </c>
      <c r="O5" s="342">
        <f t="shared" ref="O5:O7" si="4">M5*N5</f>
        <v>0</v>
      </c>
      <c r="P5" s="362">
        <f t="shared" ref="P5:P6" si="5">O5+J5</f>
        <v>0.16700000000000001</v>
      </c>
      <c r="Q5" s="262">
        <v>49.68</v>
      </c>
      <c r="R5" s="288">
        <f>Q5*1.33</f>
        <v>66.074399999999997</v>
      </c>
      <c r="S5" s="378">
        <f>R5*P5</f>
        <v>11.0344248</v>
      </c>
    </row>
    <row r="6" spans="1:20" s="98" customFormat="1" ht="26.1" customHeight="1" x14ac:dyDescent="0.3">
      <c r="A6" s="447"/>
      <c r="B6" s="486"/>
      <c r="C6" s="300" t="s">
        <v>161</v>
      </c>
      <c r="D6" s="321" t="s">
        <v>180</v>
      </c>
      <c r="E6" s="257">
        <v>1</v>
      </c>
      <c r="F6" s="261">
        <v>1</v>
      </c>
      <c r="G6" s="260">
        <v>2</v>
      </c>
      <c r="H6" s="142">
        <f t="shared" si="0"/>
        <v>2</v>
      </c>
      <c r="I6" s="223">
        <v>0.75</v>
      </c>
      <c r="J6" s="266">
        <f t="shared" si="1"/>
        <v>1.5</v>
      </c>
      <c r="K6" s="259">
        <f t="shared" si="2"/>
        <v>0</v>
      </c>
      <c r="L6" s="260">
        <v>0</v>
      </c>
      <c r="M6" s="142">
        <f t="shared" si="3"/>
        <v>0</v>
      </c>
      <c r="N6" s="260">
        <v>0</v>
      </c>
      <c r="O6" s="342">
        <f t="shared" si="4"/>
        <v>0</v>
      </c>
      <c r="P6" s="362">
        <f t="shared" si="5"/>
        <v>1.5</v>
      </c>
      <c r="Q6" s="262">
        <v>49.68</v>
      </c>
      <c r="R6" s="288">
        <f t="shared" ref="R6:R7" si="6">Q6*1.33</f>
        <v>66.074399999999997</v>
      </c>
      <c r="S6" s="144">
        <f t="shared" ref="S6:S7" si="7">R6*P6</f>
        <v>99.111599999999996</v>
      </c>
    </row>
    <row r="7" spans="1:20" s="98" customFormat="1" ht="26.1" customHeight="1" thickBot="1" x14ac:dyDescent="0.35">
      <c r="A7" s="447"/>
      <c r="B7" s="487"/>
      <c r="C7" s="267" t="s">
        <v>162</v>
      </c>
      <c r="D7" s="322" t="s">
        <v>181</v>
      </c>
      <c r="E7" s="258">
        <v>1</v>
      </c>
      <c r="F7" s="268">
        <v>1</v>
      </c>
      <c r="G7" s="264">
        <v>2</v>
      </c>
      <c r="H7" s="154">
        <f t="shared" si="0"/>
        <v>2</v>
      </c>
      <c r="I7" s="214">
        <v>40</v>
      </c>
      <c r="J7" s="269">
        <f t="shared" si="1"/>
        <v>80</v>
      </c>
      <c r="K7" s="263">
        <f t="shared" si="2"/>
        <v>0</v>
      </c>
      <c r="L7" s="264">
        <v>0</v>
      </c>
      <c r="M7" s="154">
        <f t="shared" si="3"/>
        <v>0</v>
      </c>
      <c r="N7" s="264">
        <v>0</v>
      </c>
      <c r="O7" s="343">
        <f t="shared" si="4"/>
        <v>0</v>
      </c>
      <c r="P7" s="270">
        <f>O7+J7</f>
        <v>80</v>
      </c>
      <c r="Q7" s="265">
        <v>49.68</v>
      </c>
      <c r="R7" s="288">
        <f t="shared" si="6"/>
        <v>66.074399999999997</v>
      </c>
      <c r="S7" s="144">
        <f t="shared" si="7"/>
        <v>5285.9519999999993</v>
      </c>
    </row>
    <row r="8" spans="1:20" s="98" customFormat="1" ht="26.1" customHeight="1" thickBot="1" x14ac:dyDescent="0.35">
      <c r="A8" s="447"/>
      <c r="B8" s="457" t="s">
        <v>163</v>
      </c>
      <c r="C8" s="457"/>
      <c r="D8" s="458"/>
      <c r="E8" s="271">
        <f>E5</f>
        <v>1</v>
      </c>
      <c r="F8" s="282">
        <f>F5</f>
        <v>1</v>
      </c>
      <c r="G8" s="272">
        <f>H8/F8</f>
        <v>6</v>
      </c>
      <c r="H8" s="273">
        <f>SUM(H5:H7)</f>
        <v>6</v>
      </c>
      <c r="I8" s="350">
        <f>J8/H8</f>
        <v>13.611166666666668</v>
      </c>
      <c r="J8" s="283">
        <f>SUM(J5:J7)</f>
        <v>81.667000000000002</v>
      </c>
      <c r="K8" s="284">
        <f t="shared" si="2"/>
        <v>0</v>
      </c>
      <c r="L8" s="272">
        <v>0</v>
      </c>
      <c r="M8" s="273">
        <v>0</v>
      </c>
      <c r="N8" s="272">
        <v>0</v>
      </c>
      <c r="O8" s="344">
        <f>SUM(O5:O7)</f>
        <v>0</v>
      </c>
      <c r="P8" s="274">
        <f>O8+J8</f>
        <v>81.667000000000002</v>
      </c>
      <c r="Q8" s="275" t="s">
        <v>17</v>
      </c>
      <c r="R8" s="289" t="s">
        <v>17</v>
      </c>
      <c r="S8" s="276">
        <f>SUM(S5:S7)</f>
        <v>5396.0980247999996</v>
      </c>
    </row>
    <row r="9" spans="1:20" s="98" customFormat="1" ht="26.1" customHeight="1" x14ac:dyDescent="0.3">
      <c r="A9" s="447"/>
      <c r="B9" s="475" t="s">
        <v>149</v>
      </c>
      <c r="C9" s="438" t="s">
        <v>170</v>
      </c>
      <c r="D9" s="339" t="s">
        <v>217</v>
      </c>
      <c r="E9" s="537">
        <v>28</v>
      </c>
      <c r="F9" s="375">
        <v>9</v>
      </c>
      <c r="G9" s="148">
        <v>1</v>
      </c>
      <c r="H9" s="148">
        <f>F9*G9</f>
        <v>9</v>
      </c>
      <c r="I9" s="222">
        <v>0.15029999999999999</v>
      </c>
      <c r="J9" s="359">
        <f>I9*H9</f>
        <v>1.3527</v>
      </c>
      <c r="K9" s="375">
        <f t="shared" si="2"/>
        <v>19</v>
      </c>
      <c r="L9" s="148">
        <v>1</v>
      </c>
      <c r="M9" s="148">
        <f>K9*L9</f>
        <v>19</v>
      </c>
      <c r="N9" s="222">
        <v>0.1002</v>
      </c>
      <c r="O9" s="359">
        <f t="shared" ref="O9:O23" si="8">M9*N9</f>
        <v>1.9037999999999999</v>
      </c>
      <c r="P9" s="363">
        <f>O9+J9</f>
        <v>3.2565</v>
      </c>
      <c r="Q9" s="153">
        <v>60.81</v>
      </c>
      <c r="R9" s="294">
        <f>Q9*1.33</f>
        <v>80.877300000000005</v>
      </c>
      <c r="S9" s="302">
        <f>R9*P9</f>
        <v>263.37692745000004</v>
      </c>
    </row>
    <row r="10" spans="1:20" s="98" customFormat="1" ht="26.1" customHeight="1" x14ac:dyDescent="0.3">
      <c r="A10" s="447"/>
      <c r="B10" s="476"/>
      <c r="C10" s="439"/>
      <c r="D10" s="419" t="s">
        <v>218</v>
      </c>
      <c r="E10" s="420">
        <v>19</v>
      </c>
      <c r="F10" s="421">
        <v>5</v>
      </c>
      <c r="G10" s="422">
        <v>1</v>
      </c>
      <c r="H10" s="422">
        <f t="shared" ref="H10" si="9">F10*G10</f>
        <v>5</v>
      </c>
      <c r="I10" s="423">
        <v>0.15029999999999999</v>
      </c>
      <c r="J10" s="424">
        <f t="shared" ref="J10" si="10">I10*H10</f>
        <v>0.75149999999999995</v>
      </c>
      <c r="K10" s="421">
        <f t="shared" ref="K10" si="11">E10-F10</f>
        <v>14</v>
      </c>
      <c r="L10" s="422">
        <v>1</v>
      </c>
      <c r="M10" s="422">
        <f t="shared" ref="M10" si="12">K10*L10</f>
        <v>14</v>
      </c>
      <c r="N10" s="423">
        <v>0.1002</v>
      </c>
      <c r="O10" s="424">
        <f t="shared" ref="O10" si="13">M10*N10</f>
        <v>1.4028</v>
      </c>
      <c r="P10" s="425">
        <f t="shared" ref="P10" si="14">O10+J10</f>
        <v>2.1543000000000001</v>
      </c>
      <c r="Q10" s="426">
        <v>61.81</v>
      </c>
      <c r="R10" s="427">
        <f t="shared" ref="R10" si="15">Q10*1.33</f>
        <v>82.207300000000004</v>
      </c>
      <c r="S10" s="428">
        <f t="shared" ref="S10" si="16">R10*P10</f>
        <v>177.09918639000003</v>
      </c>
    </row>
    <row r="11" spans="1:20" s="98" customFormat="1" ht="26.1" customHeight="1" x14ac:dyDescent="0.3">
      <c r="A11" s="447"/>
      <c r="B11" s="476"/>
      <c r="C11" s="440" t="s">
        <v>175</v>
      </c>
      <c r="D11" s="315" t="s">
        <v>222</v>
      </c>
      <c r="E11" s="225">
        <v>14</v>
      </c>
      <c r="F11" s="376">
        <v>14</v>
      </c>
      <c r="G11" s="142">
        <v>1</v>
      </c>
      <c r="H11" s="142">
        <f t="shared" ref="H11:H23" si="17">F11*G11</f>
        <v>14</v>
      </c>
      <c r="I11" s="218">
        <v>0.16700000000000001</v>
      </c>
      <c r="J11" s="347">
        <f t="shared" ref="J11:J23" si="18">I11*H11</f>
        <v>2.3380000000000001</v>
      </c>
      <c r="K11" s="376">
        <f t="shared" ref="K11:K23" si="19">E11-F11</f>
        <v>0</v>
      </c>
      <c r="L11" s="142">
        <v>0</v>
      </c>
      <c r="M11" s="142">
        <f t="shared" ref="M11:M23" si="20">K11*L11</f>
        <v>0</v>
      </c>
      <c r="N11" s="142">
        <v>0</v>
      </c>
      <c r="O11" s="175">
        <f t="shared" si="8"/>
        <v>0</v>
      </c>
      <c r="P11" s="362">
        <f t="shared" ref="P11:P25" si="21">O11+J11</f>
        <v>2.3380000000000001</v>
      </c>
      <c r="Q11" s="143">
        <v>60.81</v>
      </c>
      <c r="R11" s="290">
        <f t="shared" ref="R11:R23" si="22">Q11*1.33</f>
        <v>80.877300000000005</v>
      </c>
      <c r="S11" s="141">
        <f t="shared" ref="S11:S23" si="23">R11*P11</f>
        <v>189.0911274</v>
      </c>
    </row>
    <row r="12" spans="1:20" s="98" customFormat="1" ht="26.1" customHeight="1" x14ac:dyDescent="0.3">
      <c r="A12" s="447"/>
      <c r="B12" s="476"/>
      <c r="C12" s="441"/>
      <c r="D12" s="401" t="s">
        <v>219</v>
      </c>
      <c r="E12" s="429">
        <v>14</v>
      </c>
      <c r="F12" s="376">
        <v>14</v>
      </c>
      <c r="G12" s="142">
        <v>1</v>
      </c>
      <c r="H12" s="142">
        <f>F12*G12</f>
        <v>14</v>
      </c>
      <c r="I12" s="218">
        <v>0.1002</v>
      </c>
      <c r="J12" s="347">
        <f>I12*H12</f>
        <v>1.4028</v>
      </c>
      <c r="K12" s="376">
        <v>0</v>
      </c>
      <c r="L12" s="142">
        <v>0</v>
      </c>
      <c r="M12" s="142">
        <f>K12*L12</f>
        <v>0</v>
      </c>
      <c r="N12" s="142">
        <v>0</v>
      </c>
      <c r="O12" s="175">
        <f>M12*N12</f>
        <v>0</v>
      </c>
      <c r="P12" s="364">
        <f>O12+J12</f>
        <v>1.4028</v>
      </c>
      <c r="Q12" s="140">
        <v>62.81</v>
      </c>
      <c r="R12" s="290">
        <f>Q12*1.33</f>
        <v>83.537300000000002</v>
      </c>
      <c r="S12" s="141">
        <f>R12*P12</f>
        <v>117.18612444</v>
      </c>
    </row>
    <row r="13" spans="1:20" s="98" customFormat="1" ht="26.1" customHeight="1" x14ac:dyDescent="0.3">
      <c r="A13" s="447"/>
      <c r="B13" s="476"/>
      <c r="C13" s="441"/>
      <c r="D13" s="315" t="s">
        <v>223</v>
      </c>
      <c r="E13" s="225">
        <v>14</v>
      </c>
      <c r="F13" s="376">
        <v>14</v>
      </c>
      <c r="G13" s="142">
        <v>1</v>
      </c>
      <c r="H13" s="142">
        <f t="shared" si="17"/>
        <v>14</v>
      </c>
      <c r="I13" s="218">
        <v>8.3500000000000005E-2</v>
      </c>
      <c r="J13" s="347">
        <f t="shared" si="18"/>
        <v>1.169</v>
      </c>
      <c r="K13" s="376">
        <f t="shared" si="19"/>
        <v>0</v>
      </c>
      <c r="L13" s="142">
        <v>0</v>
      </c>
      <c r="M13" s="142">
        <f t="shared" si="20"/>
        <v>0</v>
      </c>
      <c r="N13" s="142">
        <v>0</v>
      </c>
      <c r="O13" s="175">
        <f t="shared" si="8"/>
        <v>0</v>
      </c>
      <c r="P13" s="362">
        <f t="shared" si="21"/>
        <v>1.169</v>
      </c>
      <c r="Q13" s="143">
        <v>60.81</v>
      </c>
      <c r="R13" s="290">
        <f t="shared" si="22"/>
        <v>80.877300000000005</v>
      </c>
      <c r="S13" s="141">
        <f t="shared" si="23"/>
        <v>94.545563700000002</v>
      </c>
    </row>
    <row r="14" spans="1:20" s="98" customFormat="1" ht="26.1" customHeight="1" x14ac:dyDescent="0.3">
      <c r="A14" s="447"/>
      <c r="B14" s="476"/>
      <c r="C14" s="441"/>
      <c r="D14" s="315" t="s">
        <v>224</v>
      </c>
      <c r="E14" s="225">
        <v>14</v>
      </c>
      <c r="F14" s="376">
        <v>14</v>
      </c>
      <c r="G14" s="142">
        <v>1</v>
      </c>
      <c r="H14" s="142">
        <f t="shared" si="17"/>
        <v>14</v>
      </c>
      <c r="I14" s="218">
        <v>1.25</v>
      </c>
      <c r="J14" s="347">
        <f t="shared" si="18"/>
        <v>17.5</v>
      </c>
      <c r="K14" s="376">
        <f t="shared" si="19"/>
        <v>0</v>
      </c>
      <c r="L14" s="142">
        <v>0</v>
      </c>
      <c r="M14" s="142">
        <f t="shared" si="20"/>
        <v>0</v>
      </c>
      <c r="N14" s="142">
        <v>0</v>
      </c>
      <c r="O14" s="175">
        <f t="shared" si="8"/>
        <v>0</v>
      </c>
      <c r="P14" s="362">
        <f t="shared" si="21"/>
        <v>17.5</v>
      </c>
      <c r="Q14" s="143">
        <v>60.81</v>
      </c>
      <c r="R14" s="290">
        <f t="shared" si="22"/>
        <v>80.877300000000005</v>
      </c>
      <c r="S14" s="141">
        <f t="shared" si="23"/>
        <v>1415.35275</v>
      </c>
    </row>
    <row r="15" spans="1:20" s="98" customFormat="1" ht="26.1" customHeight="1" x14ac:dyDescent="0.3">
      <c r="A15" s="447"/>
      <c r="B15" s="476"/>
      <c r="C15" s="440" t="s">
        <v>176</v>
      </c>
      <c r="D15" s="315" t="s">
        <v>225</v>
      </c>
      <c r="E15" s="225">
        <v>14</v>
      </c>
      <c r="F15" s="376">
        <v>14</v>
      </c>
      <c r="G15" s="142">
        <v>1</v>
      </c>
      <c r="H15" s="142">
        <f t="shared" si="17"/>
        <v>14</v>
      </c>
      <c r="I15" s="218">
        <v>1.5</v>
      </c>
      <c r="J15" s="347">
        <f t="shared" si="18"/>
        <v>21</v>
      </c>
      <c r="K15" s="376">
        <f t="shared" si="19"/>
        <v>0</v>
      </c>
      <c r="L15" s="142">
        <v>0</v>
      </c>
      <c r="M15" s="142">
        <f t="shared" si="20"/>
        <v>0</v>
      </c>
      <c r="N15" s="142">
        <v>0</v>
      </c>
      <c r="O15" s="175">
        <f t="shared" si="8"/>
        <v>0</v>
      </c>
      <c r="P15" s="362">
        <f t="shared" si="21"/>
        <v>21</v>
      </c>
      <c r="Q15" s="143">
        <v>60.81</v>
      </c>
      <c r="R15" s="290">
        <f t="shared" si="22"/>
        <v>80.877300000000005</v>
      </c>
      <c r="S15" s="141">
        <f t="shared" si="23"/>
        <v>1698.4233000000002</v>
      </c>
    </row>
    <row r="16" spans="1:20" s="98" customFormat="1" ht="26.1" customHeight="1" x14ac:dyDescent="0.3">
      <c r="A16" s="447"/>
      <c r="B16" s="476"/>
      <c r="C16" s="441"/>
      <c r="D16" s="315" t="s">
        <v>226</v>
      </c>
      <c r="E16" s="225">
        <v>14</v>
      </c>
      <c r="F16" s="376">
        <v>14</v>
      </c>
      <c r="G16" s="142">
        <v>1</v>
      </c>
      <c r="H16" s="142">
        <f t="shared" si="17"/>
        <v>14</v>
      </c>
      <c r="I16" s="423">
        <v>3.3399999999999999E-2</v>
      </c>
      <c r="J16" s="347">
        <f t="shared" si="18"/>
        <v>0.46760000000000002</v>
      </c>
      <c r="K16" s="376">
        <f t="shared" si="19"/>
        <v>0</v>
      </c>
      <c r="L16" s="142">
        <v>0</v>
      </c>
      <c r="M16" s="142">
        <f t="shared" si="20"/>
        <v>0</v>
      </c>
      <c r="N16" s="142">
        <v>0</v>
      </c>
      <c r="O16" s="175">
        <f t="shared" si="8"/>
        <v>0</v>
      </c>
      <c r="P16" s="362">
        <f t="shared" si="21"/>
        <v>0.46760000000000002</v>
      </c>
      <c r="Q16" s="143">
        <v>60.81</v>
      </c>
      <c r="R16" s="290">
        <f t="shared" si="22"/>
        <v>80.877300000000005</v>
      </c>
      <c r="S16" s="141">
        <f t="shared" si="23"/>
        <v>37.818225480000002</v>
      </c>
    </row>
    <row r="17" spans="1:52" s="98" customFormat="1" ht="26.1" customHeight="1" x14ac:dyDescent="0.3">
      <c r="A17" s="447"/>
      <c r="B17" s="476"/>
      <c r="C17" s="442"/>
      <c r="D17" s="432" t="s">
        <v>220</v>
      </c>
      <c r="E17" s="433">
        <v>14</v>
      </c>
      <c r="F17" s="421">
        <v>14</v>
      </c>
      <c r="G17" s="422">
        <v>1</v>
      </c>
      <c r="H17" s="422">
        <f t="shared" si="17"/>
        <v>14</v>
      </c>
      <c r="I17" s="423">
        <v>0.46760000000000002</v>
      </c>
      <c r="J17" s="424">
        <f t="shared" si="18"/>
        <v>6.5464000000000002</v>
      </c>
      <c r="K17" s="421">
        <f t="shared" si="19"/>
        <v>0</v>
      </c>
      <c r="L17" s="422">
        <v>0</v>
      </c>
      <c r="M17" s="422">
        <f t="shared" si="20"/>
        <v>0</v>
      </c>
      <c r="N17" s="422">
        <v>0</v>
      </c>
      <c r="O17" s="434">
        <f t="shared" si="8"/>
        <v>0</v>
      </c>
      <c r="P17" s="435">
        <f t="shared" si="21"/>
        <v>6.5464000000000002</v>
      </c>
      <c r="Q17" s="436">
        <v>60.81</v>
      </c>
      <c r="R17" s="427">
        <f t="shared" si="22"/>
        <v>80.877300000000005</v>
      </c>
      <c r="S17" s="428">
        <f t="shared" si="23"/>
        <v>529.4551567200001</v>
      </c>
    </row>
    <row r="18" spans="1:52" s="98" customFormat="1" ht="26.1" customHeight="1" x14ac:dyDescent="0.3">
      <c r="A18" s="447"/>
      <c r="B18" s="476"/>
      <c r="C18" s="440" t="s">
        <v>148</v>
      </c>
      <c r="D18" s="315" t="s">
        <v>227</v>
      </c>
      <c r="E18" s="225">
        <v>14</v>
      </c>
      <c r="F18" s="376">
        <v>14</v>
      </c>
      <c r="G18" s="142">
        <v>1</v>
      </c>
      <c r="H18" s="142">
        <f t="shared" si="17"/>
        <v>14</v>
      </c>
      <c r="I18" s="423">
        <v>3.3399999999999999E-2</v>
      </c>
      <c r="J18" s="347">
        <f t="shared" si="18"/>
        <v>0.46760000000000002</v>
      </c>
      <c r="K18" s="376">
        <f t="shared" si="19"/>
        <v>0</v>
      </c>
      <c r="L18" s="142">
        <v>0</v>
      </c>
      <c r="M18" s="142">
        <f t="shared" si="20"/>
        <v>0</v>
      </c>
      <c r="N18" s="142">
        <v>0</v>
      </c>
      <c r="O18" s="175">
        <f t="shared" si="8"/>
        <v>0</v>
      </c>
      <c r="P18" s="362">
        <f t="shared" si="21"/>
        <v>0.46760000000000002</v>
      </c>
      <c r="Q18" s="143">
        <v>60.81</v>
      </c>
      <c r="R18" s="290">
        <f t="shared" si="22"/>
        <v>80.877300000000005</v>
      </c>
      <c r="S18" s="141">
        <f t="shared" si="23"/>
        <v>37.818225480000002</v>
      </c>
    </row>
    <row r="19" spans="1:52" s="98" customFormat="1" ht="26.1" customHeight="1" x14ac:dyDescent="0.3">
      <c r="A19" s="447"/>
      <c r="B19" s="476"/>
      <c r="C19" s="442"/>
      <c r="D19" s="437" t="s">
        <v>221</v>
      </c>
      <c r="E19" s="433">
        <v>14</v>
      </c>
      <c r="F19" s="421">
        <v>14</v>
      </c>
      <c r="G19" s="422">
        <v>1</v>
      </c>
      <c r="H19" s="422">
        <f t="shared" si="17"/>
        <v>14</v>
      </c>
      <c r="I19" s="423">
        <v>0.96860000000000002</v>
      </c>
      <c r="J19" s="424">
        <f t="shared" si="18"/>
        <v>13.5604</v>
      </c>
      <c r="K19" s="421">
        <f t="shared" si="19"/>
        <v>0</v>
      </c>
      <c r="L19" s="422">
        <v>0</v>
      </c>
      <c r="M19" s="422">
        <f t="shared" si="20"/>
        <v>0</v>
      </c>
      <c r="N19" s="422">
        <v>0</v>
      </c>
      <c r="O19" s="434">
        <f t="shared" si="8"/>
        <v>0</v>
      </c>
      <c r="P19" s="435">
        <f t="shared" si="21"/>
        <v>13.5604</v>
      </c>
      <c r="Q19" s="436">
        <v>60.81</v>
      </c>
      <c r="R19" s="427">
        <f t="shared" si="22"/>
        <v>80.877300000000005</v>
      </c>
      <c r="S19" s="428">
        <f t="shared" si="23"/>
        <v>1096.7285389200001</v>
      </c>
    </row>
    <row r="20" spans="1:52" s="98" customFormat="1" ht="26.1" customHeight="1" x14ac:dyDescent="0.3">
      <c r="A20" s="447"/>
      <c r="B20" s="476"/>
      <c r="C20" s="440" t="s">
        <v>156</v>
      </c>
      <c r="D20" s="314" t="s">
        <v>228</v>
      </c>
      <c r="E20" s="225">
        <v>14</v>
      </c>
      <c r="F20" s="376">
        <v>14</v>
      </c>
      <c r="G20" s="142">
        <v>1</v>
      </c>
      <c r="H20" s="142">
        <f t="shared" si="17"/>
        <v>14</v>
      </c>
      <c r="I20" s="218">
        <v>0.16700000000000001</v>
      </c>
      <c r="J20" s="347">
        <f t="shared" si="18"/>
        <v>2.3380000000000001</v>
      </c>
      <c r="K20" s="376">
        <f t="shared" si="19"/>
        <v>0</v>
      </c>
      <c r="L20" s="142">
        <v>0</v>
      </c>
      <c r="M20" s="142">
        <f t="shared" si="20"/>
        <v>0</v>
      </c>
      <c r="N20" s="142">
        <v>0</v>
      </c>
      <c r="O20" s="175">
        <f t="shared" si="8"/>
        <v>0</v>
      </c>
      <c r="P20" s="362">
        <f t="shared" si="21"/>
        <v>2.3380000000000001</v>
      </c>
      <c r="Q20" s="143">
        <v>60.81</v>
      </c>
      <c r="R20" s="290">
        <f t="shared" si="22"/>
        <v>80.877300000000005</v>
      </c>
      <c r="S20" s="141">
        <f t="shared" si="23"/>
        <v>189.0911274</v>
      </c>
    </row>
    <row r="21" spans="1:52" s="98" customFormat="1" ht="26.1" customHeight="1" x14ac:dyDescent="0.3">
      <c r="A21" s="447"/>
      <c r="B21" s="476"/>
      <c r="C21" s="441"/>
      <c r="D21" s="316" t="s">
        <v>229</v>
      </c>
      <c r="E21" s="225">
        <v>14</v>
      </c>
      <c r="F21" s="376">
        <v>14</v>
      </c>
      <c r="G21" s="142">
        <v>1</v>
      </c>
      <c r="H21" s="142">
        <f t="shared" si="17"/>
        <v>14</v>
      </c>
      <c r="I21" s="218">
        <v>8.3500000000000005E-2</v>
      </c>
      <c r="J21" s="347">
        <f t="shared" si="18"/>
        <v>1.169</v>
      </c>
      <c r="K21" s="376">
        <f t="shared" si="19"/>
        <v>0</v>
      </c>
      <c r="L21" s="142">
        <v>0</v>
      </c>
      <c r="M21" s="142">
        <f t="shared" si="20"/>
        <v>0</v>
      </c>
      <c r="N21" s="142">
        <v>0</v>
      </c>
      <c r="O21" s="175">
        <f t="shared" si="8"/>
        <v>0</v>
      </c>
      <c r="P21" s="362">
        <f t="shared" si="21"/>
        <v>1.169</v>
      </c>
      <c r="Q21" s="143">
        <v>60.81</v>
      </c>
      <c r="R21" s="290">
        <f t="shared" si="22"/>
        <v>80.877300000000005</v>
      </c>
      <c r="S21" s="141">
        <f t="shared" si="23"/>
        <v>94.545563700000002</v>
      </c>
    </row>
    <row r="22" spans="1:52" s="98" customFormat="1" ht="26.1" customHeight="1" x14ac:dyDescent="0.3">
      <c r="A22" s="447"/>
      <c r="B22" s="476"/>
      <c r="C22" s="441"/>
      <c r="D22" s="300" t="s">
        <v>230</v>
      </c>
      <c r="E22" s="225">
        <v>14</v>
      </c>
      <c r="F22" s="376">
        <v>14</v>
      </c>
      <c r="G22" s="142">
        <v>1</v>
      </c>
      <c r="H22" s="142">
        <f t="shared" si="17"/>
        <v>14</v>
      </c>
      <c r="I22" s="218">
        <v>1.25</v>
      </c>
      <c r="J22" s="347">
        <f t="shared" si="18"/>
        <v>17.5</v>
      </c>
      <c r="K22" s="376">
        <f t="shared" si="19"/>
        <v>0</v>
      </c>
      <c r="L22" s="142">
        <v>0</v>
      </c>
      <c r="M22" s="142">
        <f t="shared" si="20"/>
        <v>0</v>
      </c>
      <c r="N22" s="142">
        <v>0</v>
      </c>
      <c r="O22" s="175">
        <f t="shared" si="8"/>
        <v>0</v>
      </c>
      <c r="P22" s="362">
        <f t="shared" si="21"/>
        <v>17.5</v>
      </c>
      <c r="Q22" s="143">
        <v>60.81</v>
      </c>
      <c r="R22" s="290">
        <f t="shared" si="22"/>
        <v>80.877300000000005</v>
      </c>
      <c r="S22" s="141">
        <f t="shared" si="23"/>
        <v>1415.35275</v>
      </c>
    </row>
    <row r="23" spans="1:52" s="98" customFormat="1" ht="26.1" customHeight="1" thickBot="1" x14ac:dyDescent="0.35">
      <c r="A23" s="447"/>
      <c r="B23" s="477"/>
      <c r="C23" s="329" t="s">
        <v>177</v>
      </c>
      <c r="D23" s="316" t="s">
        <v>231</v>
      </c>
      <c r="E23" s="226">
        <v>14</v>
      </c>
      <c r="F23" s="377">
        <v>14</v>
      </c>
      <c r="G23" s="145">
        <v>1</v>
      </c>
      <c r="H23" s="145">
        <f t="shared" si="17"/>
        <v>14</v>
      </c>
      <c r="I23" s="219">
        <v>1.5</v>
      </c>
      <c r="J23" s="346">
        <f t="shared" si="18"/>
        <v>21</v>
      </c>
      <c r="K23" s="377">
        <f t="shared" si="19"/>
        <v>0</v>
      </c>
      <c r="L23" s="145">
        <v>0</v>
      </c>
      <c r="M23" s="145">
        <f t="shared" si="20"/>
        <v>0</v>
      </c>
      <c r="N23" s="145">
        <v>0</v>
      </c>
      <c r="O23" s="349">
        <f t="shared" si="8"/>
        <v>0</v>
      </c>
      <c r="P23" s="362">
        <f t="shared" si="21"/>
        <v>21</v>
      </c>
      <c r="Q23" s="143">
        <v>60.81</v>
      </c>
      <c r="R23" s="290">
        <f t="shared" si="22"/>
        <v>80.877300000000005</v>
      </c>
      <c r="S23" s="379">
        <f t="shared" si="23"/>
        <v>1698.4233000000002</v>
      </c>
    </row>
    <row r="24" spans="1:52" s="98" customFormat="1" ht="26.1" customHeight="1" thickBot="1" x14ac:dyDescent="0.35">
      <c r="A24" s="468"/>
      <c r="B24" s="457" t="s">
        <v>164</v>
      </c>
      <c r="C24" s="457"/>
      <c r="D24" s="458"/>
      <c r="E24" s="277">
        <f>E9</f>
        <v>28</v>
      </c>
      <c r="F24" s="278">
        <f>F9</f>
        <v>9</v>
      </c>
      <c r="G24" s="273">
        <f>H24/F24</f>
        <v>21.777777777777779</v>
      </c>
      <c r="H24" s="273">
        <f>SUM(H9:H23)</f>
        <v>196</v>
      </c>
      <c r="I24" s="279">
        <f>J24/H24</f>
        <v>0.55389285714285696</v>
      </c>
      <c r="J24" s="283">
        <f>SUM(J9:J23)</f>
        <v>108.56299999999997</v>
      </c>
      <c r="K24" s="280">
        <f>E24-F24</f>
        <v>19</v>
      </c>
      <c r="L24" s="273">
        <f>M24/K24</f>
        <v>1.736842105263158</v>
      </c>
      <c r="M24" s="273">
        <f>SUM(M9:M23)</f>
        <v>33</v>
      </c>
      <c r="N24" s="279">
        <f>O24/M24</f>
        <v>0.1002</v>
      </c>
      <c r="O24" s="283">
        <f>SUM(O9:O23)</f>
        <v>3.3066</v>
      </c>
      <c r="P24" s="274">
        <f t="shared" si="21"/>
        <v>111.86959999999998</v>
      </c>
      <c r="Q24" s="281" t="s">
        <v>17</v>
      </c>
      <c r="R24" s="292" t="s">
        <v>17</v>
      </c>
      <c r="S24" s="276">
        <f>SUM(S9:S23)</f>
        <v>9054.3078670800023</v>
      </c>
    </row>
    <row r="25" spans="1:52" s="211" customFormat="1" ht="26.1" customHeight="1" thickBot="1" x14ac:dyDescent="0.35">
      <c r="A25" s="483" t="s">
        <v>194</v>
      </c>
      <c r="B25" s="483"/>
      <c r="C25" s="483"/>
      <c r="D25" s="484"/>
      <c r="E25" s="285">
        <f>E8+E24</f>
        <v>29</v>
      </c>
      <c r="F25" s="251">
        <f>F8+F24</f>
        <v>10</v>
      </c>
      <c r="G25" s="325">
        <f>H25/F25</f>
        <v>20.2</v>
      </c>
      <c r="H25" s="286">
        <f>H8+H24</f>
        <v>202</v>
      </c>
      <c r="I25" s="253">
        <f>J25/H25</f>
        <v>0.94173267326732657</v>
      </c>
      <c r="J25" s="254">
        <f>J8+J24</f>
        <v>190.22999999999996</v>
      </c>
      <c r="K25" s="287">
        <f>E25-F25</f>
        <v>19</v>
      </c>
      <c r="L25" s="252">
        <f>M25/K25</f>
        <v>1.736842105263158</v>
      </c>
      <c r="M25" s="286">
        <f>M8+M24</f>
        <v>33</v>
      </c>
      <c r="N25" s="253">
        <f>O25/M25</f>
        <v>0.1002</v>
      </c>
      <c r="O25" s="254">
        <f>O8+O24</f>
        <v>3.3066</v>
      </c>
      <c r="P25" s="365">
        <f t="shared" si="21"/>
        <v>193.53659999999996</v>
      </c>
      <c r="Q25" s="252" t="s">
        <v>17</v>
      </c>
      <c r="R25" s="293" t="s">
        <v>17</v>
      </c>
      <c r="S25" s="255">
        <f>S8+S24</f>
        <v>14450.405891880002</v>
      </c>
    </row>
    <row r="26" spans="1:52" s="106" customFormat="1" ht="26.1" customHeight="1" thickBot="1" x14ac:dyDescent="0.3">
      <c r="A26" s="462" t="s">
        <v>152</v>
      </c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4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</row>
    <row r="27" spans="1:52" s="104" customFormat="1" ht="26.1" customHeight="1" thickBot="1" x14ac:dyDescent="0.3">
      <c r="A27" s="450" t="s">
        <v>45</v>
      </c>
      <c r="B27" s="451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2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22"/>
      <c r="AU27" s="122"/>
      <c r="AV27" s="122"/>
      <c r="AW27" s="122"/>
      <c r="AX27" s="122"/>
      <c r="AY27" s="122"/>
      <c r="AZ27" s="122"/>
    </row>
    <row r="28" spans="1:52" s="98" customFormat="1" ht="26.1" customHeight="1" x14ac:dyDescent="0.3">
      <c r="A28" s="446" t="s">
        <v>45</v>
      </c>
      <c r="B28" s="443" t="s">
        <v>150</v>
      </c>
      <c r="C28" s="448" t="s">
        <v>170</v>
      </c>
      <c r="D28" s="339" t="s">
        <v>217</v>
      </c>
      <c r="E28" s="537">
        <v>28</v>
      </c>
      <c r="F28" s="375">
        <v>9</v>
      </c>
      <c r="G28" s="148">
        <v>1</v>
      </c>
      <c r="H28" s="148">
        <f>F28*G28</f>
        <v>9</v>
      </c>
      <c r="I28" s="222">
        <v>0.15029999999999999</v>
      </c>
      <c r="J28" s="359">
        <f>I28*H28</f>
        <v>1.3527</v>
      </c>
      <c r="K28" s="375">
        <f t="shared" ref="K28:K30" si="24">E28-F28</f>
        <v>19</v>
      </c>
      <c r="L28" s="148">
        <v>1</v>
      </c>
      <c r="M28" s="148">
        <f>K28*L28</f>
        <v>19</v>
      </c>
      <c r="N28" s="222">
        <v>0.1002</v>
      </c>
      <c r="O28" s="359">
        <f t="shared" ref="O28:O30" si="25">M28*N28</f>
        <v>1.9037999999999999</v>
      </c>
      <c r="P28" s="363">
        <f>O28+J28</f>
        <v>3.2565</v>
      </c>
      <c r="Q28" s="541">
        <v>38.15</v>
      </c>
      <c r="R28" s="294">
        <f>Q28*1.33</f>
        <v>50.7395</v>
      </c>
      <c r="S28" s="302">
        <f>R28*P28</f>
        <v>165.23318175</v>
      </c>
    </row>
    <row r="29" spans="1:52" s="98" customFormat="1" ht="26.1" customHeight="1" x14ac:dyDescent="0.3">
      <c r="A29" s="447"/>
      <c r="B29" s="444"/>
      <c r="C29" s="449"/>
      <c r="D29" s="419" t="s">
        <v>218</v>
      </c>
      <c r="E29" s="420">
        <v>19</v>
      </c>
      <c r="F29" s="421">
        <v>5</v>
      </c>
      <c r="G29" s="422">
        <v>1</v>
      </c>
      <c r="H29" s="422">
        <f t="shared" ref="H29:H30" si="26">F29*G29</f>
        <v>5</v>
      </c>
      <c r="I29" s="423">
        <v>0.15029999999999999</v>
      </c>
      <c r="J29" s="424">
        <f t="shared" ref="J29:J30" si="27">I29*H29</f>
        <v>0.75149999999999995</v>
      </c>
      <c r="K29" s="421">
        <f t="shared" si="24"/>
        <v>14</v>
      </c>
      <c r="L29" s="422">
        <v>1</v>
      </c>
      <c r="M29" s="422">
        <f t="shared" ref="M29:M30" si="28">K29*L29</f>
        <v>14</v>
      </c>
      <c r="N29" s="423">
        <v>0.1002</v>
      </c>
      <c r="O29" s="424">
        <f t="shared" si="25"/>
        <v>1.4028</v>
      </c>
      <c r="P29" s="425">
        <f t="shared" ref="P29:P30" si="29">O29+J29</f>
        <v>2.1543000000000001</v>
      </c>
      <c r="Q29" s="426">
        <v>38.15</v>
      </c>
      <c r="R29" s="427">
        <f t="shared" ref="R29:R30" si="30">Q29*1.33</f>
        <v>50.7395</v>
      </c>
      <c r="S29" s="428">
        <f t="shared" ref="S29:S30" si="31">R29*P29</f>
        <v>109.30810485000001</v>
      </c>
    </row>
    <row r="30" spans="1:52" s="100" customFormat="1" ht="26.1" customHeight="1" x14ac:dyDescent="0.25">
      <c r="A30" s="447"/>
      <c r="B30" s="444"/>
      <c r="C30" s="440" t="s">
        <v>175</v>
      </c>
      <c r="D30" s="315" t="s">
        <v>222</v>
      </c>
      <c r="E30" s="225">
        <v>14</v>
      </c>
      <c r="F30" s="376">
        <v>14</v>
      </c>
      <c r="G30" s="142">
        <v>1</v>
      </c>
      <c r="H30" s="142">
        <f t="shared" si="26"/>
        <v>14</v>
      </c>
      <c r="I30" s="218">
        <v>0.16700000000000001</v>
      </c>
      <c r="J30" s="347">
        <f t="shared" si="27"/>
        <v>2.3380000000000001</v>
      </c>
      <c r="K30" s="376">
        <f t="shared" si="24"/>
        <v>0</v>
      </c>
      <c r="L30" s="142">
        <v>0</v>
      </c>
      <c r="M30" s="142">
        <f t="shared" si="28"/>
        <v>0</v>
      </c>
      <c r="N30" s="142">
        <v>0</v>
      </c>
      <c r="O30" s="175">
        <f t="shared" si="25"/>
        <v>0</v>
      </c>
      <c r="P30" s="362">
        <f t="shared" si="29"/>
        <v>2.3380000000000001</v>
      </c>
      <c r="Q30" s="143">
        <v>38.15</v>
      </c>
      <c r="R30" s="290">
        <f t="shared" si="30"/>
        <v>50.7395</v>
      </c>
      <c r="S30" s="542">
        <f t="shared" si="31"/>
        <v>118.628951</v>
      </c>
    </row>
    <row r="31" spans="1:52" s="100" customFormat="1" ht="26.1" customHeight="1" x14ac:dyDescent="0.25">
      <c r="A31" s="447"/>
      <c r="B31" s="444"/>
      <c r="C31" s="441"/>
      <c r="D31" s="401" t="s">
        <v>219</v>
      </c>
      <c r="E31" s="429">
        <v>14</v>
      </c>
      <c r="F31" s="376">
        <v>14</v>
      </c>
      <c r="G31" s="142">
        <v>1</v>
      </c>
      <c r="H31" s="142">
        <f>F31*G31</f>
        <v>14</v>
      </c>
      <c r="I31" s="218">
        <v>0.1002</v>
      </c>
      <c r="J31" s="347">
        <f>I31*H31</f>
        <v>1.4028</v>
      </c>
      <c r="K31" s="376">
        <v>0</v>
      </c>
      <c r="L31" s="142">
        <v>0</v>
      </c>
      <c r="M31" s="142">
        <f>K31*L31</f>
        <v>0</v>
      </c>
      <c r="N31" s="142">
        <v>0</v>
      </c>
      <c r="O31" s="175">
        <f>M31*N31</f>
        <v>0</v>
      </c>
      <c r="P31" s="364">
        <f>O31+J31</f>
        <v>1.4028</v>
      </c>
      <c r="Q31" s="426">
        <v>38.15</v>
      </c>
      <c r="R31" s="290">
        <f>Q31*1.33</f>
        <v>50.7395</v>
      </c>
      <c r="S31" s="542">
        <f>R31*P31</f>
        <v>71.177370600000003</v>
      </c>
    </row>
    <row r="32" spans="1:52" s="100" customFormat="1" ht="26.1" customHeight="1" x14ac:dyDescent="0.25">
      <c r="A32" s="447"/>
      <c r="B32" s="444"/>
      <c r="C32" s="441"/>
      <c r="D32" s="315" t="s">
        <v>223</v>
      </c>
      <c r="E32" s="225">
        <v>14</v>
      </c>
      <c r="F32" s="376">
        <v>14</v>
      </c>
      <c r="G32" s="142">
        <v>1</v>
      </c>
      <c r="H32" s="142">
        <f t="shared" ref="H32:H42" si="32">F32*G32</f>
        <v>14</v>
      </c>
      <c r="I32" s="218">
        <v>8.3500000000000005E-2</v>
      </c>
      <c r="J32" s="347">
        <f t="shared" ref="J32:J42" si="33">I32*H32</f>
        <v>1.169</v>
      </c>
      <c r="K32" s="376">
        <f t="shared" ref="K32:K42" si="34">E32-F32</f>
        <v>0</v>
      </c>
      <c r="L32" s="142">
        <v>0</v>
      </c>
      <c r="M32" s="142">
        <f t="shared" ref="M32:M42" si="35">K32*L32</f>
        <v>0</v>
      </c>
      <c r="N32" s="142">
        <v>0</v>
      </c>
      <c r="O32" s="175">
        <f t="shared" ref="O32:O42" si="36">M32*N32</f>
        <v>0</v>
      </c>
      <c r="P32" s="362">
        <f t="shared" ref="P32:P42" si="37">O32+J32</f>
        <v>1.169</v>
      </c>
      <c r="Q32" s="143">
        <v>38.15</v>
      </c>
      <c r="R32" s="290">
        <f t="shared" ref="R32:R42" si="38">Q32*1.33</f>
        <v>50.7395</v>
      </c>
      <c r="S32" s="542">
        <f t="shared" ref="S32:S42" si="39">R32*P32</f>
        <v>59.3144755</v>
      </c>
    </row>
    <row r="33" spans="1:52" s="100" customFormat="1" ht="26.1" customHeight="1" x14ac:dyDescent="0.25">
      <c r="A33" s="447"/>
      <c r="B33" s="444"/>
      <c r="C33" s="442"/>
      <c r="D33" s="315" t="s">
        <v>224</v>
      </c>
      <c r="E33" s="225">
        <v>14</v>
      </c>
      <c r="F33" s="376">
        <v>14</v>
      </c>
      <c r="G33" s="142">
        <v>1</v>
      </c>
      <c r="H33" s="142">
        <f t="shared" si="32"/>
        <v>14</v>
      </c>
      <c r="I33" s="218">
        <v>1.25</v>
      </c>
      <c r="J33" s="347">
        <f t="shared" si="33"/>
        <v>17.5</v>
      </c>
      <c r="K33" s="376">
        <f t="shared" si="34"/>
        <v>0</v>
      </c>
      <c r="L33" s="142">
        <v>0</v>
      </c>
      <c r="M33" s="142">
        <f t="shared" si="35"/>
        <v>0</v>
      </c>
      <c r="N33" s="142">
        <v>0</v>
      </c>
      <c r="O33" s="175">
        <f t="shared" si="36"/>
        <v>0</v>
      </c>
      <c r="P33" s="362">
        <f t="shared" si="37"/>
        <v>17.5</v>
      </c>
      <c r="Q33" s="143">
        <v>38.15</v>
      </c>
      <c r="R33" s="290">
        <f t="shared" si="38"/>
        <v>50.7395</v>
      </c>
      <c r="S33" s="542">
        <f t="shared" si="39"/>
        <v>887.94124999999997</v>
      </c>
    </row>
    <row r="34" spans="1:52" s="100" customFormat="1" ht="26.1" customHeight="1" x14ac:dyDescent="0.25">
      <c r="A34" s="447"/>
      <c r="B34" s="444"/>
      <c r="C34" s="441" t="s">
        <v>176</v>
      </c>
      <c r="D34" s="315" t="s">
        <v>225</v>
      </c>
      <c r="E34" s="225">
        <v>14</v>
      </c>
      <c r="F34" s="376">
        <v>14</v>
      </c>
      <c r="G34" s="142">
        <v>1</v>
      </c>
      <c r="H34" s="142">
        <f t="shared" si="32"/>
        <v>14</v>
      </c>
      <c r="I34" s="218">
        <v>1.5</v>
      </c>
      <c r="J34" s="347">
        <f t="shared" si="33"/>
        <v>21</v>
      </c>
      <c r="K34" s="376">
        <f t="shared" si="34"/>
        <v>0</v>
      </c>
      <c r="L34" s="142">
        <v>0</v>
      </c>
      <c r="M34" s="142">
        <f t="shared" si="35"/>
        <v>0</v>
      </c>
      <c r="N34" s="142">
        <v>0</v>
      </c>
      <c r="O34" s="175">
        <f t="shared" si="36"/>
        <v>0</v>
      </c>
      <c r="P34" s="362">
        <f t="shared" si="37"/>
        <v>21</v>
      </c>
      <c r="Q34" s="143">
        <v>38.15</v>
      </c>
      <c r="R34" s="290">
        <f t="shared" si="38"/>
        <v>50.7395</v>
      </c>
      <c r="S34" s="542">
        <f t="shared" si="39"/>
        <v>1065.5295000000001</v>
      </c>
    </row>
    <row r="35" spans="1:52" s="100" customFormat="1" ht="26.1" customHeight="1" x14ac:dyDescent="0.25">
      <c r="A35" s="447"/>
      <c r="B35" s="444"/>
      <c r="C35" s="442"/>
      <c r="D35" s="315" t="s">
        <v>226</v>
      </c>
      <c r="E35" s="225">
        <v>14</v>
      </c>
      <c r="F35" s="376">
        <v>14</v>
      </c>
      <c r="G35" s="142">
        <v>1</v>
      </c>
      <c r="H35" s="142">
        <f t="shared" si="32"/>
        <v>14</v>
      </c>
      <c r="I35" s="423">
        <v>3.3399999999999999E-2</v>
      </c>
      <c r="J35" s="347">
        <f t="shared" si="33"/>
        <v>0.46760000000000002</v>
      </c>
      <c r="K35" s="376">
        <f t="shared" si="34"/>
        <v>0</v>
      </c>
      <c r="L35" s="142">
        <v>0</v>
      </c>
      <c r="M35" s="142">
        <f t="shared" si="35"/>
        <v>0</v>
      </c>
      <c r="N35" s="142">
        <v>0</v>
      </c>
      <c r="O35" s="175">
        <f t="shared" si="36"/>
        <v>0</v>
      </c>
      <c r="P35" s="362">
        <f t="shared" si="37"/>
        <v>0.46760000000000002</v>
      </c>
      <c r="Q35" s="143">
        <v>38.15</v>
      </c>
      <c r="R35" s="290">
        <f t="shared" si="38"/>
        <v>50.7395</v>
      </c>
      <c r="S35" s="542">
        <f t="shared" si="39"/>
        <v>23.725790200000002</v>
      </c>
    </row>
    <row r="36" spans="1:52" s="100" customFormat="1" ht="26.1" customHeight="1" x14ac:dyDescent="0.25">
      <c r="A36" s="447"/>
      <c r="B36" s="444"/>
      <c r="C36" s="430"/>
      <c r="D36" s="432" t="s">
        <v>220</v>
      </c>
      <c r="E36" s="433">
        <v>14</v>
      </c>
      <c r="F36" s="421">
        <v>14</v>
      </c>
      <c r="G36" s="422">
        <v>1</v>
      </c>
      <c r="H36" s="422">
        <f t="shared" si="32"/>
        <v>14</v>
      </c>
      <c r="I36" s="423">
        <v>0.46760000000000002</v>
      </c>
      <c r="J36" s="424">
        <f t="shared" si="33"/>
        <v>6.5464000000000002</v>
      </c>
      <c r="K36" s="421">
        <f t="shared" si="34"/>
        <v>0</v>
      </c>
      <c r="L36" s="422">
        <v>0</v>
      </c>
      <c r="M36" s="422">
        <f t="shared" si="35"/>
        <v>0</v>
      </c>
      <c r="N36" s="422">
        <v>0</v>
      </c>
      <c r="O36" s="434">
        <f t="shared" si="36"/>
        <v>0</v>
      </c>
      <c r="P36" s="435">
        <f t="shared" si="37"/>
        <v>6.5464000000000002</v>
      </c>
      <c r="Q36" s="436">
        <v>38.15</v>
      </c>
      <c r="R36" s="427">
        <f t="shared" si="38"/>
        <v>50.7395</v>
      </c>
      <c r="S36" s="543">
        <f t="shared" si="39"/>
        <v>332.16106280000002</v>
      </c>
    </row>
    <row r="37" spans="1:52" s="100" customFormat="1" ht="26.1" customHeight="1" x14ac:dyDescent="0.25">
      <c r="A37" s="447"/>
      <c r="B37" s="444"/>
      <c r="C37" s="313" t="s">
        <v>148</v>
      </c>
      <c r="D37" s="315" t="s">
        <v>227</v>
      </c>
      <c r="E37" s="225">
        <v>14</v>
      </c>
      <c r="F37" s="376">
        <v>14</v>
      </c>
      <c r="G37" s="142">
        <v>1</v>
      </c>
      <c r="H37" s="142">
        <f t="shared" si="32"/>
        <v>14</v>
      </c>
      <c r="I37" s="423">
        <v>3.3399999999999999E-2</v>
      </c>
      <c r="J37" s="347">
        <f t="shared" si="33"/>
        <v>0.46760000000000002</v>
      </c>
      <c r="K37" s="376">
        <f t="shared" si="34"/>
        <v>0</v>
      </c>
      <c r="L37" s="142">
        <v>0</v>
      </c>
      <c r="M37" s="142">
        <f t="shared" si="35"/>
        <v>0</v>
      </c>
      <c r="N37" s="142">
        <v>0</v>
      </c>
      <c r="O37" s="175">
        <f t="shared" si="36"/>
        <v>0</v>
      </c>
      <c r="P37" s="362">
        <f t="shared" si="37"/>
        <v>0.46760000000000002</v>
      </c>
      <c r="Q37" s="143">
        <v>38.15</v>
      </c>
      <c r="R37" s="290">
        <f t="shared" si="38"/>
        <v>50.7395</v>
      </c>
      <c r="S37" s="542">
        <f t="shared" si="39"/>
        <v>23.725790200000002</v>
      </c>
    </row>
    <row r="38" spans="1:52" s="100" customFormat="1" ht="26.1" customHeight="1" x14ac:dyDescent="0.25">
      <c r="A38" s="447"/>
      <c r="B38" s="444"/>
      <c r="C38" s="431"/>
      <c r="D38" s="437" t="s">
        <v>221</v>
      </c>
      <c r="E38" s="433">
        <v>14</v>
      </c>
      <c r="F38" s="421">
        <v>14</v>
      </c>
      <c r="G38" s="422">
        <v>1</v>
      </c>
      <c r="H38" s="422">
        <f t="shared" si="32"/>
        <v>14</v>
      </c>
      <c r="I38" s="423">
        <v>0.96860000000000002</v>
      </c>
      <c r="J38" s="424">
        <f t="shared" si="33"/>
        <v>13.5604</v>
      </c>
      <c r="K38" s="421">
        <f t="shared" si="34"/>
        <v>0</v>
      </c>
      <c r="L38" s="422">
        <v>0</v>
      </c>
      <c r="M38" s="422">
        <f t="shared" si="35"/>
        <v>0</v>
      </c>
      <c r="N38" s="422">
        <v>0</v>
      </c>
      <c r="O38" s="434">
        <f t="shared" si="36"/>
        <v>0</v>
      </c>
      <c r="P38" s="435">
        <f t="shared" si="37"/>
        <v>13.5604</v>
      </c>
      <c r="Q38" s="436">
        <v>38.15</v>
      </c>
      <c r="R38" s="427">
        <f t="shared" si="38"/>
        <v>50.7395</v>
      </c>
      <c r="S38" s="543">
        <f t="shared" si="39"/>
        <v>688.04791579999994</v>
      </c>
    </row>
    <row r="39" spans="1:52" s="100" customFormat="1" ht="26.1" customHeight="1" x14ac:dyDescent="0.25">
      <c r="A39" s="447"/>
      <c r="B39" s="444"/>
      <c r="C39" s="440" t="s">
        <v>156</v>
      </c>
      <c r="D39" s="314" t="s">
        <v>228</v>
      </c>
      <c r="E39" s="225">
        <v>14</v>
      </c>
      <c r="F39" s="376">
        <v>14</v>
      </c>
      <c r="G39" s="142">
        <v>1</v>
      </c>
      <c r="H39" s="142">
        <f t="shared" si="32"/>
        <v>14</v>
      </c>
      <c r="I39" s="218">
        <v>0.16700000000000001</v>
      </c>
      <c r="J39" s="347">
        <f t="shared" si="33"/>
        <v>2.3380000000000001</v>
      </c>
      <c r="K39" s="376">
        <f t="shared" si="34"/>
        <v>0</v>
      </c>
      <c r="L39" s="142">
        <v>0</v>
      </c>
      <c r="M39" s="142">
        <f t="shared" si="35"/>
        <v>0</v>
      </c>
      <c r="N39" s="142">
        <v>0</v>
      </c>
      <c r="O39" s="175">
        <f t="shared" si="36"/>
        <v>0</v>
      </c>
      <c r="P39" s="362">
        <f t="shared" si="37"/>
        <v>2.3380000000000001</v>
      </c>
      <c r="Q39" s="143">
        <v>38.15</v>
      </c>
      <c r="R39" s="290">
        <f t="shared" si="38"/>
        <v>50.7395</v>
      </c>
      <c r="S39" s="141">
        <f t="shared" si="39"/>
        <v>118.628951</v>
      </c>
    </row>
    <row r="40" spans="1:52" s="100" customFormat="1" ht="26.1" customHeight="1" x14ac:dyDescent="0.25">
      <c r="A40" s="447"/>
      <c r="B40" s="444"/>
      <c r="C40" s="441"/>
      <c r="D40" s="316" t="s">
        <v>229</v>
      </c>
      <c r="E40" s="225">
        <v>14</v>
      </c>
      <c r="F40" s="376">
        <v>14</v>
      </c>
      <c r="G40" s="142">
        <v>1</v>
      </c>
      <c r="H40" s="142">
        <f t="shared" si="32"/>
        <v>14</v>
      </c>
      <c r="I40" s="218">
        <v>8.3500000000000005E-2</v>
      </c>
      <c r="J40" s="347">
        <f t="shared" si="33"/>
        <v>1.169</v>
      </c>
      <c r="K40" s="376">
        <f t="shared" si="34"/>
        <v>0</v>
      </c>
      <c r="L40" s="142">
        <v>0</v>
      </c>
      <c r="M40" s="142">
        <f t="shared" si="35"/>
        <v>0</v>
      </c>
      <c r="N40" s="142">
        <v>0</v>
      </c>
      <c r="O40" s="175">
        <f t="shared" si="36"/>
        <v>0</v>
      </c>
      <c r="P40" s="362">
        <f t="shared" si="37"/>
        <v>1.169</v>
      </c>
      <c r="Q40" s="143">
        <v>38.15</v>
      </c>
      <c r="R40" s="290">
        <f t="shared" si="38"/>
        <v>50.7395</v>
      </c>
      <c r="S40" s="141">
        <f t="shared" si="39"/>
        <v>59.3144755</v>
      </c>
    </row>
    <row r="41" spans="1:52" s="100" customFormat="1" ht="26.1" customHeight="1" x14ac:dyDescent="0.25">
      <c r="A41" s="447"/>
      <c r="B41" s="444"/>
      <c r="C41" s="441"/>
      <c r="D41" s="300" t="s">
        <v>230</v>
      </c>
      <c r="E41" s="225">
        <v>14</v>
      </c>
      <c r="F41" s="376">
        <v>14</v>
      </c>
      <c r="G41" s="142">
        <v>1</v>
      </c>
      <c r="H41" s="142">
        <f t="shared" si="32"/>
        <v>14</v>
      </c>
      <c r="I41" s="218">
        <v>1.25</v>
      </c>
      <c r="J41" s="347">
        <f t="shared" si="33"/>
        <v>17.5</v>
      </c>
      <c r="K41" s="376">
        <f t="shared" si="34"/>
        <v>0</v>
      </c>
      <c r="L41" s="142">
        <v>0</v>
      </c>
      <c r="M41" s="142">
        <f t="shared" si="35"/>
        <v>0</v>
      </c>
      <c r="N41" s="142">
        <v>0</v>
      </c>
      <c r="O41" s="175">
        <f t="shared" si="36"/>
        <v>0</v>
      </c>
      <c r="P41" s="362">
        <f t="shared" si="37"/>
        <v>17.5</v>
      </c>
      <c r="Q41" s="143">
        <v>38.15</v>
      </c>
      <c r="R41" s="290">
        <f t="shared" si="38"/>
        <v>50.7395</v>
      </c>
      <c r="S41" s="141">
        <f t="shared" si="39"/>
        <v>887.94124999999997</v>
      </c>
    </row>
    <row r="42" spans="1:52" s="100" customFormat="1" ht="26.1" customHeight="1" thickBot="1" x14ac:dyDescent="0.3">
      <c r="A42" s="447"/>
      <c r="B42" s="445"/>
      <c r="C42" s="329" t="s">
        <v>177</v>
      </c>
      <c r="D42" s="316" t="s">
        <v>231</v>
      </c>
      <c r="E42" s="226">
        <v>14</v>
      </c>
      <c r="F42" s="377">
        <v>14</v>
      </c>
      <c r="G42" s="145">
        <v>1</v>
      </c>
      <c r="H42" s="145">
        <f t="shared" si="32"/>
        <v>14</v>
      </c>
      <c r="I42" s="219">
        <v>1.5</v>
      </c>
      <c r="J42" s="346">
        <f t="shared" si="33"/>
        <v>21</v>
      </c>
      <c r="K42" s="377">
        <f t="shared" si="34"/>
        <v>0</v>
      </c>
      <c r="L42" s="145">
        <v>0</v>
      </c>
      <c r="M42" s="145">
        <f t="shared" si="35"/>
        <v>0</v>
      </c>
      <c r="N42" s="145">
        <v>0</v>
      </c>
      <c r="O42" s="349">
        <f t="shared" si="36"/>
        <v>0</v>
      </c>
      <c r="P42" s="362">
        <f t="shared" si="37"/>
        <v>21</v>
      </c>
      <c r="Q42" s="143">
        <v>38.15</v>
      </c>
      <c r="R42" s="290">
        <f t="shared" si="38"/>
        <v>50.7395</v>
      </c>
      <c r="S42" s="379">
        <f t="shared" si="39"/>
        <v>1065.5295000000001</v>
      </c>
    </row>
    <row r="43" spans="1:52" s="103" customFormat="1" ht="26.1" customHeight="1" thickBot="1" x14ac:dyDescent="0.3">
      <c r="A43" s="447"/>
      <c r="B43" s="474" t="s">
        <v>133</v>
      </c>
      <c r="C43" s="457"/>
      <c r="D43" s="458"/>
      <c r="E43" s="212">
        <f>E28</f>
        <v>28</v>
      </c>
      <c r="F43" s="327">
        <f>F28</f>
        <v>9</v>
      </c>
      <c r="G43" s="208">
        <f>H43/F43</f>
        <v>21.777777777777779</v>
      </c>
      <c r="H43" s="208">
        <f>SUM(H28:H42)</f>
        <v>196</v>
      </c>
      <c r="I43" s="248">
        <f>J43/H43</f>
        <v>0.55389285714285696</v>
      </c>
      <c r="J43" s="328">
        <f>SUM(J28:J42)</f>
        <v>108.56299999999997</v>
      </c>
      <c r="K43" s="327">
        <f t="shared" ref="K43" si="40">E43-F43</f>
        <v>19</v>
      </c>
      <c r="L43" s="208">
        <f>M43/K43</f>
        <v>1.736842105263158</v>
      </c>
      <c r="M43" s="208">
        <f>SUM(M28:M42)</f>
        <v>33</v>
      </c>
      <c r="N43" s="248">
        <f>O43/M43</f>
        <v>0.1002</v>
      </c>
      <c r="O43" s="328">
        <f>SUM(O28:O42)</f>
        <v>3.3066</v>
      </c>
      <c r="P43" s="368">
        <f t="shared" ref="P43" si="41">O43+J43</f>
        <v>111.86959999999998</v>
      </c>
      <c r="Q43" s="206" t="s">
        <v>17</v>
      </c>
      <c r="R43" s="296" t="s">
        <v>17</v>
      </c>
      <c r="S43" s="209">
        <f>SUM(S28:S42)</f>
        <v>5676.2075691999999</v>
      </c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</row>
    <row r="44" spans="1:52" s="104" customFormat="1" ht="26.1" customHeight="1" thickBot="1" x14ac:dyDescent="0.3">
      <c r="A44" s="450" t="s">
        <v>153</v>
      </c>
      <c r="B44" s="451"/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2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22"/>
      <c r="AU44" s="122"/>
      <c r="AV44" s="122"/>
      <c r="AW44" s="122"/>
      <c r="AX44" s="122"/>
      <c r="AY44" s="122"/>
      <c r="AZ44" s="122"/>
    </row>
    <row r="45" spans="1:52" s="98" customFormat="1" ht="26.1" customHeight="1" x14ac:dyDescent="0.3">
      <c r="A45" s="446" t="s">
        <v>153</v>
      </c>
      <c r="B45" s="443" t="s">
        <v>151</v>
      </c>
      <c r="C45" s="448" t="s">
        <v>170</v>
      </c>
      <c r="D45" s="339" t="s">
        <v>217</v>
      </c>
      <c r="E45" s="537">
        <v>28</v>
      </c>
      <c r="F45" s="375">
        <v>9</v>
      </c>
      <c r="G45" s="148">
        <v>1</v>
      </c>
      <c r="H45" s="148">
        <f>F45*G45</f>
        <v>9</v>
      </c>
      <c r="I45" s="222">
        <v>0.15029999999999999</v>
      </c>
      <c r="J45" s="359">
        <f>I45*H45</f>
        <v>1.3527</v>
      </c>
      <c r="K45" s="375">
        <f t="shared" ref="K45:K47" si="42">E45-F45</f>
        <v>19</v>
      </c>
      <c r="L45" s="148">
        <v>1</v>
      </c>
      <c r="M45" s="148">
        <f>K45*L45</f>
        <v>19</v>
      </c>
      <c r="N45" s="222">
        <v>0.1002</v>
      </c>
      <c r="O45" s="359">
        <f t="shared" ref="O45:O47" si="43">M45*N45</f>
        <v>1.9037999999999999</v>
      </c>
      <c r="P45" s="363">
        <f>O45+J45</f>
        <v>3.2565</v>
      </c>
      <c r="Q45" s="541">
        <v>25.09</v>
      </c>
      <c r="R45" s="294">
        <f>Q45*1.33</f>
        <v>33.369700000000002</v>
      </c>
      <c r="S45" s="302">
        <f>R45*P45</f>
        <v>108.66842805</v>
      </c>
    </row>
    <row r="46" spans="1:52" s="98" customFormat="1" ht="26.1" customHeight="1" x14ac:dyDescent="0.3">
      <c r="A46" s="447"/>
      <c r="B46" s="444"/>
      <c r="C46" s="449"/>
      <c r="D46" s="419" t="s">
        <v>218</v>
      </c>
      <c r="E46" s="420">
        <v>19</v>
      </c>
      <c r="F46" s="421">
        <v>5</v>
      </c>
      <c r="G46" s="422">
        <v>1</v>
      </c>
      <c r="H46" s="422">
        <f t="shared" ref="H46:H47" si="44">F46*G46</f>
        <v>5</v>
      </c>
      <c r="I46" s="423">
        <v>0.15029999999999999</v>
      </c>
      <c r="J46" s="424">
        <f t="shared" ref="J46:J47" si="45">I46*H46</f>
        <v>0.75149999999999995</v>
      </c>
      <c r="K46" s="421">
        <f t="shared" si="42"/>
        <v>14</v>
      </c>
      <c r="L46" s="422">
        <v>1</v>
      </c>
      <c r="M46" s="422">
        <f t="shared" ref="M46:M47" si="46">K46*L46</f>
        <v>14</v>
      </c>
      <c r="N46" s="423">
        <v>0.1002</v>
      </c>
      <c r="O46" s="424">
        <f t="shared" si="43"/>
        <v>1.4028</v>
      </c>
      <c r="P46" s="425">
        <f t="shared" ref="P46:P47" si="47">O46+J46</f>
        <v>2.1543000000000001</v>
      </c>
      <c r="Q46" s="426">
        <v>25.09</v>
      </c>
      <c r="R46" s="427">
        <f t="shared" ref="R46:R47" si="48">Q46*1.33</f>
        <v>33.369700000000002</v>
      </c>
      <c r="S46" s="428">
        <f t="shared" ref="S46:S47" si="49">R46*P46</f>
        <v>71.888344710000013</v>
      </c>
    </row>
    <row r="47" spans="1:52" s="104" customFormat="1" ht="26.1" customHeight="1" x14ac:dyDescent="0.25">
      <c r="A47" s="447"/>
      <c r="B47" s="444"/>
      <c r="C47" s="440" t="s">
        <v>175</v>
      </c>
      <c r="D47" s="315" t="s">
        <v>222</v>
      </c>
      <c r="E47" s="225">
        <v>14</v>
      </c>
      <c r="F47" s="376">
        <v>14</v>
      </c>
      <c r="G47" s="142">
        <v>1</v>
      </c>
      <c r="H47" s="142">
        <f t="shared" si="44"/>
        <v>14</v>
      </c>
      <c r="I47" s="218">
        <v>0.16700000000000001</v>
      </c>
      <c r="J47" s="347">
        <f t="shared" si="45"/>
        <v>2.3380000000000001</v>
      </c>
      <c r="K47" s="376">
        <f t="shared" si="42"/>
        <v>0</v>
      </c>
      <c r="L47" s="142">
        <v>0</v>
      </c>
      <c r="M47" s="142">
        <f t="shared" si="46"/>
        <v>0</v>
      </c>
      <c r="N47" s="142">
        <v>0</v>
      </c>
      <c r="O47" s="175">
        <f t="shared" si="43"/>
        <v>0</v>
      </c>
      <c r="P47" s="362">
        <f t="shared" si="47"/>
        <v>2.3380000000000001</v>
      </c>
      <c r="Q47" s="143">
        <v>25.09</v>
      </c>
      <c r="R47" s="290">
        <f t="shared" si="48"/>
        <v>33.369700000000002</v>
      </c>
      <c r="S47" s="141">
        <f t="shared" si="49"/>
        <v>78.018358600000013</v>
      </c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22"/>
      <c r="AU47" s="122"/>
      <c r="AV47" s="122"/>
      <c r="AW47" s="122"/>
      <c r="AX47" s="122"/>
      <c r="AY47" s="122"/>
      <c r="AZ47" s="122"/>
    </row>
    <row r="48" spans="1:52" s="104" customFormat="1" ht="26.1" customHeight="1" x14ac:dyDescent="0.25">
      <c r="A48" s="447"/>
      <c r="B48" s="444"/>
      <c r="C48" s="441"/>
      <c r="D48" s="401" t="s">
        <v>219</v>
      </c>
      <c r="E48" s="429">
        <v>14</v>
      </c>
      <c r="F48" s="376">
        <v>14</v>
      </c>
      <c r="G48" s="142">
        <v>1</v>
      </c>
      <c r="H48" s="142">
        <f>F48*G48</f>
        <v>14</v>
      </c>
      <c r="I48" s="218">
        <v>0.1002</v>
      </c>
      <c r="J48" s="347">
        <f>I48*H48</f>
        <v>1.4028</v>
      </c>
      <c r="K48" s="376">
        <v>0</v>
      </c>
      <c r="L48" s="142">
        <v>0</v>
      </c>
      <c r="M48" s="142">
        <f>K48*L48</f>
        <v>0</v>
      </c>
      <c r="N48" s="142">
        <v>0</v>
      </c>
      <c r="O48" s="175">
        <f>M48*N48</f>
        <v>0</v>
      </c>
      <c r="P48" s="364">
        <f>O48+J48</f>
        <v>1.4028</v>
      </c>
      <c r="Q48" s="426">
        <v>25.09</v>
      </c>
      <c r="R48" s="290">
        <f>Q48*1.33</f>
        <v>33.369700000000002</v>
      </c>
      <c r="S48" s="141">
        <f>R48*P48</f>
        <v>46.811015160000004</v>
      </c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22"/>
      <c r="AU48" s="122"/>
      <c r="AV48" s="122"/>
      <c r="AW48" s="122"/>
      <c r="AX48" s="122"/>
      <c r="AY48" s="122"/>
      <c r="AZ48" s="122"/>
    </row>
    <row r="49" spans="1:52" s="104" customFormat="1" ht="26.1" customHeight="1" x14ac:dyDescent="0.25">
      <c r="A49" s="447"/>
      <c r="B49" s="444"/>
      <c r="C49" s="441"/>
      <c r="D49" s="315" t="s">
        <v>223</v>
      </c>
      <c r="E49" s="225">
        <v>14</v>
      </c>
      <c r="F49" s="376">
        <v>14</v>
      </c>
      <c r="G49" s="142">
        <v>1</v>
      </c>
      <c r="H49" s="142">
        <f t="shared" ref="H49:H59" si="50">F49*G49</f>
        <v>14</v>
      </c>
      <c r="I49" s="218">
        <v>8.3500000000000005E-2</v>
      </c>
      <c r="J49" s="347">
        <f t="shared" ref="J49:J59" si="51">I49*H49</f>
        <v>1.169</v>
      </c>
      <c r="K49" s="376">
        <f t="shared" ref="K49:K59" si="52">E49-F49</f>
        <v>0</v>
      </c>
      <c r="L49" s="142">
        <v>0</v>
      </c>
      <c r="M49" s="142">
        <f t="shared" ref="M49:M59" si="53">K49*L49</f>
        <v>0</v>
      </c>
      <c r="N49" s="142">
        <v>0</v>
      </c>
      <c r="O49" s="175">
        <f t="shared" ref="O49:O59" si="54">M49*N49</f>
        <v>0</v>
      </c>
      <c r="P49" s="362">
        <f t="shared" ref="P49:P59" si="55">O49+J49</f>
        <v>1.169</v>
      </c>
      <c r="Q49" s="143">
        <v>25.09</v>
      </c>
      <c r="R49" s="290">
        <f t="shared" ref="R49:R59" si="56">Q49*1.33</f>
        <v>33.369700000000002</v>
      </c>
      <c r="S49" s="141">
        <f t="shared" ref="S49:S59" si="57">R49*P49</f>
        <v>39.009179300000007</v>
      </c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22"/>
      <c r="AU49" s="122"/>
      <c r="AV49" s="122"/>
      <c r="AW49" s="122"/>
      <c r="AX49" s="122"/>
      <c r="AY49" s="122"/>
      <c r="AZ49" s="122"/>
    </row>
    <row r="50" spans="1:52" s="104" customFormat="1" ht="26.1" customHeight="1" x14ac:dyDescent="0.25">
      <c r="A50" s="447"/>
      <c r="B50" s="444"/>
      <c r="C50" s="441"/>
      <c r="D50" s="315" t="s">
        <v>224</v>
      </c>
      <c r="E50" s="225">
        <v>14</v>
      </c>
      <c r="F50" s="376">
        <v>14</v>
      </c>
      <c r="G50" s="142">
        <v>1</v>
      </c>
      <c r="H50" s="142">
        <f t="shared" si="50"/>
        <v>14</v>
      </c>
      <c r="I50" s="218">
        <v>1.25</v>
      </c>
      <c r="J50" s="347">
        <f t="shared" si="51"/>
        <v>17.5</v>
      </c>
      <c r="K50" s="376">
        <f t="shared" si="52"/>
        <v>0</v>
      </c>
      <c r="L50" s="142">
        <v>0</v>
      </c>
      <c r="M50" s="142">
        <f t="shared" si="53"/>
        <v>0</v>
      </c>
      <c r="N50" s="142">
        <v>0</v>
      </c>
      <c r="O50" s="175">
        <f t="shared" si="54"/>
        <v>0</v>
      </c>
      <c r="P50" s="362">
        <f t="shared" si="55"/>
        <v>17.5</v>
      </c>
      <c r="Q50" s="143">
        <v>25.09</v>
      </c>
      <c r="R50" s="290">
        <f t="shared" si="56"/>
        <v>33.369700000000002</v>
      </c>
      <c r="S50" s="141">
        <f t="shared" si="57"/>
        <v>583.96974999999998</v>
      </c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22"/>
      <c r="AU50" s="122"/>
      <c r="AV50" s="122"/>
      <c r="AW50" s="122"/>
      <c r="AX50" s="122"/>
      <c r="AY50" s="122"/>
      <c r="AZ50" s="122"/>
    </row>
    <row r="51" spans="1:52" s="104" customFormat="1" ht="26.1" customHeight="1" x14ac:dyDescent="0.25">
      <c r="A51" s="447"/>
      <c r="B51" s="444"/>
      <c r="C51" s="440" t="s">
        <v>176</v>
      </c>
      <c r="D51" s="315" t="s">
        <v>225</v>
      </c>
      <c r="E51" s="225">
        <v>14</v>
      </c>
      <c r="F51" s="376">
        <v>14</v>
      </c>
      <c r="G51" s="142">
        <v>1</v>
      </c>
      <c r="H51" s="142">
        <f t="shared" si="50"/>
        <v>14</v>
      </c>
      <c r="I51" s="218">
        <v>1.5</v>
      </c>
      <c r="J51" s="347">
        <f t="shared" si="51"/>
        <v>21</v>
      </c>
      <c r="K51" s="376">
        <f t="shared" si="52"/>
        <v>0</v>
      </c>
      <c r="L51" s="142">
        <v>0</v>
      </c>
      <c r="M51" s="142">
        <f t="shared" si="53"/>
        <v>0</v>
      </c>
      <c r="N51" s="142">
        <v>0</v>
      </c>
      <c r="O51" s="175">
        <f t="shared" si="54"/>
        <v>0</v>
      </c>
      <c r="P51" s="362">
        <f t="shared" si="55"/>
        <v>21</v>
      </c>
      <c r="Q51" s="143">
        <v>25.09</v>
      </c>
      <c r="R51" s="290">
        <f t="shared" si="56"/>
        <v>33.369700000000002</v>
      </c>
      <c r="S51" s="141">
        <f t="shared" si="57"/>
        <v>700.76370000000009</v>
      </c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22"/>
      <c r="AU51" s="122"/>
      <c r="AV51" s="122"/>
      <c r="AW51" s="122"/>
      <c r="AX51" s="122"/>
      <c r="AY51" s="122"/>
      <c r="AZ51" s="122"/>
    </row>
    <row r="52" spans="1:52" s="104" customFormat="1" ht="26.1" customHeight="1" x14ac:dyDescent="0.25">
      <c r="A52" s="447"/>
      <c r="B52" s="444"/>
      <c r="C52" s="442"/>
      <c r="D52" s="315" t="s">
        <v>226</v>
      </c>
      <c r="E52" s="225">
        <v>14</v>
      </c>
      <c r="F52" s="376">
        <v>14</v>
      </c>
      <c r="G52" s="142">
        <v>1</v>
      </c>
      <c r="H52" s="142">
        <f t="shared" si="50"/>
        <v>14</v>
      </c>
      <c r="I52" s="423">
        <v>3.3399999999999999E-2</v>
      </c>
      <c r="J52" s="347">
        <f t="shared" si="51"/>
        <v>0.46760000000000002</v>
      </c>
      <c r="K52" s="376">
        <f t="shared" si="52"/>
        <v>0</v>
      </c>
      <c r="L52" s="142">
        <v>0</v>
      </c>
      <c r="M52" s="142">
        <f t="shared" si="53"/>
        <v>0</v>
      </c>
      <c r="N52" s="142">
        <v>0</v>
      </c>
      <c r="O52" s="175">
        <f t="shared" si="54"/>
        <v>0</v>
      </c>
      <c r="P52" s="362">
        <f t="shared" si="55"/>
        <v>0.46760000000000002</v>
      </c>
      <c r="Q52" s="143">
        <v>25.09</v>
      </c>
      <c r="R52" s="290">
        <f t="shared" si="56"/>
        <v>33.369700000000002</v>
      </c>
      <c r="S52" s="141">
        <f t="shared" si="57"/>
        <v>15.603671720000001</v>
      </c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22"/>
      <c r="AU52" s="122"/>
      <c r="AV52" s="122"/>
      <c r="AW52" s="122"/>
      <c r="AX52" s="122"/>
      <c r="AY52" s="122"/>
      <c r="AZ52" s="122"/>
    </row>
    <row r="53" spans="1:52" s="104" customFormat="1" ht="26.1" customHeight="1" x14ac:dyDescent="0.25">
      <c r="A53" s="447"/>
      <c r="B53" s="444"/>
      <c r="C53" s="430"/>
      <c r="D53" s="432" t="s">
        <v>220</v>
      </c>
      <c r="E53" s="433">
        <v>14</v>
      </c>
      <c r="F53" s="421">
        <v>14</v>
      </c>
      <c r="G53" s="422">
        <v>1</v>
      </c>
      <c r="H53" s="422">
        <f t="shared" si="50"/>
        <v>14</v>
      </c>
      <c r="I53" s="423">
        <v>0.46760000000000002</v>
      </c>
      <c r="J53" s="424">
        <f t="shared" si="51"/>
        <v>6.5464000000000002</v>
      </c>
      <c r="K53" s="421">
        <f t="shared" si="52"/>
        <v>0</v>
      </c>
      <c r="L53" s="422">
        <v>0</v>
      </c>
      <c r="M53" s="422">
        <f t="shared" si="53"/>
        <v>0</v>
      </c>
      <c r="N53" s="422">
        <v>0</v>
      </c>
      <c r="O53" s="434">
        <f t="shared" si="54"/>
        <v>0</v>
      </c>
      <c r="P53" s="435">
        <f t="shared" si="55"/>
        <v>6.5464000000000002</v>
      </c>
      <c r="Q53" s="436">
        <v>25.09</v>
      </c>
      <c r="R53" s="427">
        <f t="shared" si="56"/>
        <v>33.369700000000002</v>
      </c>
      <c r="S53" s="428">
        <f t="shared" si="57"/>
        <v>218.45140408000003</v>
      </c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22"/>
      <c r="AU53" s="122"/>
      <c r="AV53" s="122"/>
      <c r="AW53" s="122"/>
      <c r="AX53" s="122"/>
      <c r="AY53" s="122"/>
      <c r="AZ53" s="122"/>
    </row>
    <row r="54" spans="1:52" s="104" customFormat="1" ht="26.1" customHeight="1" x14ac:dyDescent="0.25">
      <c r="A54" s="447"/>
      <c r="B54" s="444"/>
      <c r="C54" s="313" t="s">
        <v>148</v>
      </c>
      <c r="D54" s="315" t="s">
        <v>227</v>
      </c>
      <c r="E54" s="225">
        <v>14</v>
      </c>
      <c r="F54" s="376">
        <v>14</v>
      </c>
      <c r="G54" s="142">
        <v>1</v>
      </c>
      <c r="H54" s="142">
        <f t="shared" si="50"/>
        <v>14</v>
      </c>
      <c r="I54" s="423">
        <v>3.3399999999999999E-2</v>
      </c>
      <c r="J54" s="347">
        <f t="shared" si="51"/>
        <v>0.46760000000000002</v>
      </c>
      <c r="K54" s="376">
        <f t="shared" si="52"/>
        <v>0</v>
      </c>
      <c r="L54" s="142">
        <v>0</v>
      </c>
      <c r="M54" s="142">
        <f t="shared" si="53"/>
        <v>0</v>
      </c>
      <c r="N54" s="142">
        <v>0</v>
      </c>
      <c r="O54" s="175">
        <f t="shared" si="54"/>
        <v>0</v>
      </c>
      <c r="P54" s="362">
        <f t="shared" si="55"/>
        <v>0.46760000000000002</v>
      </c>
      <c r="Q54" s="143">
        <v>25.09</v>
      </c>
      <c r="R54" s="290">
        <f t="shared" si="56"/>
        <v>33.369700000000002</v>
      </c>
      <c r="S54" s="141">
        <f t="shared" si="57"/>
        <v>15.603671720000001</v>
      </c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22"/>
      <c r="AU54" s="122"/>
      <c r="AV54" s="122"/>
      <c r="AW54" s="122"/>
      <c r="AX54" s="122"/>
      <c r="AY54" s="122"/>
      <c r="AZ54" s="122"/>
    </row>
    <row r="55" spans="1:52" s="104" customFormat="1" ht="26.1" customHeight="1" x14ac:dyDescent="0.25">
      <c r="A55" s="447"/>
      <c r="B55" s="444"/>
      <c r="C55" s="431"/>
      <c r="D55" s="437" t="s">
        <v>221</v>
      </c>
      <c r="E55" s="433">
        <v>14</v>
      </c>
      <c r="F55" s="421">
        <v>14</v>
      </c>
      <c r="G55" s="422">
        <v>1</v>
      </c>
      <c r="H55" s="422">
        <f t="shared" si="50"/>
        <v>14</v>
      </c>
      <c r="I55" s="423">
        <v>0.96860000000000002</v>
      </c>
      <c r="J55" s="424">
        <f t="shared" si="51"/>
        <v>13.5604</v>
      </c>
      <c r="K55" s="421">
        <f t="shared" si="52"/>
        <v>0</v>
      </c>
      <c r="L55" s="422">
        <v>0</v>
      </c>
      <c r="M55" s="422">
        <f t="shared" si="53"/>
        <v>0</v>
      </c>
      <c r="N55" s="422">
        <v>0</v>
      </c>
      <c r="O55" s="434">
        <f t="shared" si="54"/>
        <v>0</v>
      </c>
      <c r="P55" s="435">
        <f t="shared" si="55"/>
        <v>13.5604</v>
      </c>
      <c r="Q55" s="436">
        <v>25.09</v>
      </c>
      <c r="R55" s="427">
        <f t="shared" si="56"/>
        <v>33.369700000000002</v>
      </c>
      <c r="S55" s="428">
        <f t="shared" si="57"/>
        <v>452.50647988000003</v>
      </c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22"/>
      <c r="AU55" s="122"/>
      <c r="AV55" s="122"/>
      <c r="AW55" s="122"/>
      <c r="AX55" s="122"/>
      <c r="AY55" s="122"/>
      <c r="AZ55" s="122"/>
    </row>
    <row r="56" spans="1:52" s="100" customFormat="1" ht="26.1" customHeight="1" x14ac:dyDescent="0.25">
      <c r="A56" s="447"/>
      <c r="B56" s="444"/>
      <c r="C56" s="440" t="s">
        <v>156</v>
      </c>
      <c r="D56" s="314" t="s">
        <v>228</v>
      </c>
      <c r="E56" s="225">
        <v>14</v>
      </c>
      <c r="F56" s="376">
        <v>14</v>
      </c>
      <c r="G56" s="142">
        <v>1</v>
      </c>
      <c r="H56" s="142">
        <f t="shared" si="50"/>
        <v>14</v>
      </c>
      <c r="I56" s="218">
        <v>0.16700000000000001</v>
      </c>
      <c r="J56" s="347">
        <f t="shared" si="51"/>
        <v>2.3380000000000001</v>
      </c>
      <c r="K56" s="376">
        <f t="shared" si="52"/>
        <v>0</v>
      </c>
      <c r="L56" s="142">
        <v>0</v>
      </c>
      <c r="M56" s="142">
        <f t="shared" si="53"/>
        <v>0</v>
      </c>
      <c r="N56" s="142">
        <v>0</v>
      </c>
      <c r="O56" s="175">
        <f t="shared" si="54"/>
        <v>0</v>
      </c>
      <c r="P56" s="362">
        <f t="shared" si="55"/>
        <v>2.3380000000000001</v>
      </c>
      <c r="Q56" s="143">
        <v>25.09</v>
      </c>
      <c r="R56" s="290">
        <f t="shared" si="56"/>
        <v>33.369700000000002</v>
      </c>
      <c r="S56" s="141">
        <f t="shared" si="57"/>
        <v>78.018358600000013</v>
      </c>
    </row>
    <row r="57" spans="1:52" s="100" customFormat="1" ht="26.1" customHeight="1" x14ac:dyDescent="0.25">
      <c r="A57" s="447"/>
      <c r="B57" s="444"/>
      <c r="C57" s="441"/>
      <c r="D57" s="316" t="s">
        <v>229</v>
      </c>
      <c r="E57" s="225">
        <v>14</v>
      </c>
      <c r="F57" s="376">
        <v>14</v>
      </c>
      <c r="G57" s="142">
        <v>1</v>
      </c>
      <c r="H57" s="142">
        <f t="shared" si="50"/>
        <v>14</v>
      </c>
      <c r="I57" s="218">
        <v>8.3500000000000005E-2</v>
      </c>
      <c r="J57" s="347">
        <f t="shared" si="51"/>
        <v>1.169</v>
      </c>
      <c r="K57" s="376">
        <f t="shared" si="52"/>
        <v>0</v>
      </c>
      <c r="L57" s="142">
        <v>0</v>
      </c>
      <c r="M57" s="142">
        <f t="shared" si="53"/>
        <v>0</v>
      </c>
      <c r="N57" s="142">
        <v>0</v>
      </c>
      <c r="O57" s="175">
        <f t="shared" si="54"/>
        <v>0</v>
      </c>
      <c r="P57" s="362">
        <f t="shared" si="55"/>
        <v>1.169</v>
      </c>
      <c r="Q57" s="143">
        <v>25.09</v>
      </c>
      <c r="R57" s="290">
        <f t="shared" si="56"/>
        <v>33.369700000000002</v>
      </c>
      <c r="S57" s="141">
        <f t="shared" si="57"/>
        <v>39.009179300000007</v>
      </c>
    </row>
    <row r="58" spans="1:52" s="100" customFormat="1" ht="26.1" customHeight="1" x14ac:dyDescent="0.25">
      <c r="A58" s="447"/>
      <c r="B58" s="444"/>
      <c r="C58" s="441"/>
      <c r="D58" s="300" t="s">
        <v>230</v>
      </c>
      <c r="E58" s="225">
        <v>14</v>
      </c>
      <c r="F58" s="376">
        <v>14</v>
      </c>
      <c r="G58" s="142">
        <v>1</v>
      </c>
      <c r="H58" s="142">
        <f t="shared" si="50"/>
        <v>14</v>
      </c>
      <c r="I58" s="218">
        <v>1.25</v>
      </c>
      <c r="J58" s="347">
        <f t="shared" si="51"/>
        <v>17.5</v>
      </c>
      <c r="K58" s="376">
        <f t="shared" si="52"/>
        <v>0</v>
      </c>
      <c r="L58" s="142">
        <v>0</v>
      </c>
      <c r="M58" s="142">
        <f t="shared" si="53"/>
        <v>0</v>
      </c>
      <c r="N58" s="142">
        <v>0</v>
      </c>
      <c r="O58" s="175">
        <f t="shared" si="54"/>
        <v>0</v>
      </c>
      <c r="P58" s="362">
        <f t="shared" si="55"/>
        <v>17.5</v>
      </c>
      <c r="Q58" s="143">
        <v>25.09</v>
      </c>
      <c r="R58" s="290">
        <f t="shared" si="56"/>
        <v>33.369700000000002</v>
      </c>
      <c r="S58" s="141">
        <f t="shared" si="57"/>
        <v>583.96974999999998</v>
      </c>
    </row>
    <row r="59" spans="1:52" s="100" customFormat="1" ht="26.1" customHeight="1" thickBot="1" x14ac:dyDescent="0.3">
      <c r="A59" s="447"/>
      <c r="B59" s="445"/>
      <c r="C59" s="329" t="s">
        <v>177</v>
      </c>
      <c r="D59" s="316" t="s">
        <v>231</v>
      </c>
      <c r="E59" s="226">
        <v>14</v>
      </c>
      <c r="F59" s="377">
        <v>14</v>
      </c>
      <c r="G59" s="145">
        <v>1</v>
      </c>
      <c r="H59" s="145">
        <f t="shared" si="50"/>
        <v>14</v>
      </c>
      <c r="I59" s="219">
        <v>1.5</v>
      </c>
      <c r="J59" s="346">
        <f t="shared" si="51"/>
        <v>21</v>
      </c>
      <c r="K59" s="377">
        <f t="shared" si="52"/>
        <v>0</v>
      </c>
      <c r="L59" s="145">
        <v>0</v>
      </c>
      <c r="M59" s="145">
        <f t="shared" si="53"/>
        <v>0</v>
      </c>
      <c r="N59" s="145">
        <v>0</v>
      </c>
      <c r="O59" s="349">
        <f t="shared" si="54"/>
        <v>0</v>
      </c>
      <c r="P59" s="362">
        <f t="shared" si="55"/>
        <v>21</v>
      </c>
      <c r="Q59" s="143">
        <v>25.09</v>
      </c>
      <c r="R59" s="290">
        <f t="shared" si="56"/>
        <v>33.369700000000002</v>
      </c>
      <c r="S59" s="379">
        <f t="shared" si="57"/>
        <v>700.76370000000009</v>
      </c>
    </row>
    <row r="60" spans="1:52" s="100" customFormat="1" ht="26.1" customHeight="1" thickBot="1" x14ac:dyDescent="0.3">
      <c r="A60" s="447"/>
      <c r="B60" s="469" t="s">
        <v>154</v>
      </c>
      <c r="C60" s="470"/>
      <c r="D60" s="471"/>
      <c r="E60" s="212">
        <f>E45</f>
        <v>28</v>
      </c>
      <c r="F60" s="207">
        <f>F45</f>
        <v>9</v>
      </c>
      <c r="G60" s="208">
        <f>H60/F60</f>
        <v>21.777777777777779</v>
      </c>
      <c r="H60" s="208">
        <f>SUM(H45:H59)</f>
        <v>196</v>
      </c>
      <c r="I60" s="248">
        <f>J60/H60</f>
        <v>0.55389285714285696</v>
      </c>
      <c r="J60" s="210">
        <f>SUM(J45:J59)</f>
        <v>108.56299999999997</v>
      </c>
      <c r="K60" s="327">
        <f t="shared" ref="K60" si="58">E60-F60</f>
        <v>19</v>
      </c>
      <c r="L60" s="208">
        <f>M60/K60</f>
        <v>1.736842105263158</v>
      </c>
      <c r="M60" s="208">
        <f>SUM(M45:M59)</f>
        <v>33</v>
      </c>
      <c r="N60" s="248">
        <f>O60/M60</f>
        <v>0.1002</v>
      </c>
      <c r="O60" s="210">
        <f>SUM(O45:O59)</f>
        <v>3.3066</v>
      </c>
      <c r="P60" s="368">
        <f t="shared" ref="P60:P61" si="59">O60+J60</f>
        <v>111.86959999999998</v>
      </c>
      <c r="Q60" s="206" t="s">
        <v>17</v>
      </c>
      <c r="R60" s="296" t="s">
        <v>17</v>
      </c>
      <c r="S60" s="209">
        <f>SUM(S45:S59)</f>
        <v>3733.0549911200001</v>
      </c>
    </row>
    <row r="61" spans="1:52" s="100" customFormat="1" ht="26.1" customHeight="1" thickBot="1" x14ac:dyDescent="0.3">
      <c r="A61" s="459" t="s">
        <v>167</v>
      </c>
      <c r="B61" s="460"/>
      <c r="C61" s="460"/>
      <c r="D61" s="461"/>
      <c r="E61" s="204">
        <f>E43+E60</f>
        <v>56</v>
      </c>
      <c r="F61" s="330">
        <f>F43+F60</f>
        <v>18</v>
      </c>
      <c r="G61" s="162">
        <f>H61/F61</f>
        <v>21.777777777777779</v>
      </c>
      <c r="H61" s="162">
        <f>H60+H43</f>
        <v>392</v>
      </c>
      <c r="I61" s="224">
        <f>J61/H61</f>
        <v>0.55389285714285696</v>
      </c>
      <c r="J61" s="352">
        <f>J60+J43</f>
        <v>217.12599999999995</v>
      </c>
      <c r="K61" s="330">
        <f>E61-F61</f>
        <v>38</v>
      </c>
      <c r="L61" s="162">
        <f>M61/K61</f>
        <v>1.736842105263158</v>
      </c>
      <c r="M61" s="162">
        <f>M60+M43</f>
        <v>66</v>
      </c>
      <c r="N61" s="358">
        <f>O61/M61</f>
        <v>0.1002</v>
      </c>
      <c r="O61" s="331">
        <f>O60+O43</f>
        <v>6.6132</v>
      </c>
      <c r="P61" s="370">
        <f t="shared" si="59"/>
        <v>223.73919999999995</v>
      </c>
      <c r="Q61" s="298" t="s">
        <v>17</v>
      </c>
      <c r="R61" s="163" t="s">
        <v>17</v>
      </c>
      <c r="S61" s="205">
        <f>S60+S43</f>
        <v>9409.2625603199995</v>
      </c>
    </row>
    <row r="62" spans="1:52" s="100" customFormat="1" ht="26.1" customHeight="1" thickBot="1" x14ac:dyDescent="0.3">
      <c r="A62" s="510" t="s">
        <v>96</v>
      </c>
      <c r="B62" s="511"/>
      <c r="C62" s="511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1"/>
      <c r="P62" s="511"/>
      <c r="Q62" s="511"/>
      <c r="R62" s="511"/>
      <c r="S62" s="512"/>
    </row>
    <row r="63" spans="1:52" s="100" customFormat="1" ht="26.1" customHeight="1" x14ac:dyDescent="0.25">
      <c r="A63" s="465" t="s">
        <v>96</v>
      </c>
      <c r="B63" s="503" t="s">
        <v>159</v>
      </c>
      <c r="C63" s="156" t="s">
        <v>157</v>
      </c>
      <c r="D63" s="319" t="s">
        <v>182</v>
      </c>
      <c r="E63" s="173">
        <v>12</v>
      </c>
      <c r="F63" s="179">
        <v>9</v>
      </c>
      <c r="G63" s="192">
        <v>1</v>
      </c>
      <c r="H63" s="193">
        <f>F63*G63</f>
        <v>9</v>
      </c>
      <c r="I63" s="215">
        <v>1.5</v>
      </c>
      <c r="J63" s="308">
        <f t="shared" ref="J63:J64" si="60">H63*I63</f>
        <v>13.5</v>
      </c>
      <c r="K63" s="194">
        <f>E63-F63</f>
        <v>3</v>
      </c>
      <c r="L63" s="139">
        <v>1</v>
      </c>
      <c r="M63" s="142">
        <f>K63*L63</f>
        <v>3</v>
      </c>
      <c r="N63" s="223">
        <v>0.1002</v>
      </c>
      <c r="O63" s="347">
        <f t="shared" ref="O63:O64" si="61">N63*M63</f>
        <v>0.30059999999999998</v>
      </c>
      <c r="P63" s="366">
        <f>O63+J63</f>
        <v>13.800599999999999</v>
      </c>
      <c r="Q63" s="143">
        <v>7.25</v>
      </c>
      <c r="R63" s="291">
        <f>Q63*1.33</f>
        <v>9.6425000000000001</v>
      </c>
      <c r="S63" s="144">
        <f>R63*P63</f>
        <v>133.07228549999999</v>
      </c>
      <c r="T63" s="172"/>
    </row>
    <row r="64" spans="1:52" s="100" customFormat="1" ht="26.1" customHeight="1" thickBot="1" x14ac:dyDescent="0.3">
      <c r="A64" s="466"/>
      <c r="B64" s="504"/>
      <c r="C64" s="158" t="s">
        <v>158</v>
      </c>
      <c r="D64" s="315" t="s">
        <v>196</v>
      </c>
      <c r="E64" s="176">
        <v>12</v>
      </c>
      <c r="F64" s="195">
        <v>8</v>
      </c>
      <c r="G64" s="196">
        <v>1</v>
      </c>
      <c r="H64" s="197">
        <f>F64*G64</f>
        <v>8</v>
      </c>
      <c r="I64" s="216">
        <v>1.5</v>
      </c>
      <c r="J64" s="309">
        <f t="shared" si="60"/>
        <v>12</v>
      </c>
      <c r="K64" s="198">
        <f t="shared" ref="K64" si="62">E64-F64</f>
        <v>4</v>
      </c>
      <c r="L64" s="145">
        <v>1</v>
      </c>
      <c r="M64" s="145">
        <f t="shared" ref="M64" si="63">K64*L64</f>
        <v>4</v>
      </c>
      <c r="N64" s="219">
        <v>0.1002</v>
      </c>
      <c r="O64" s="346">
        <f t="shared" si="61"/>
        <v>0.40079999999999999</v>
      </c>
      <c r="P64" s="369">
        <f t="shared" ref="P64:P65" si="64">O64+J64</f>
        <v>12.4008</v>
      </c>
      <c r="Q64" s="146">
        <v>7.25</v>
      </c>
      <c r="R64" s="291">
        <f>Q64*1.33</f>
        <v>9.6425000000000001</v>
      </c>
      <c r="S64" s="144">
        <f>R64*P64</f>
        <v>119.574714</v>
      </c>
    </row>
    <row r="65" spans="1:44" s="227" customFormat="1" ht="26.1" customHeight="1" thickBot="1" x14ac:dyDescent="0.3">
      <c r="A65" s="466"/>
      <c r="B65" s="469" t="s">
        <v>195</v>
      </c>
      <c r="C65" s="470"/>
      <c r="D65" s="471"/>
      <c r="E65" s="249">
        <f>SUM(E63:E64)</f>
        <v>24</v>
      </c>
      <c r="F65" s="228">
        <f>SUM(F63:F64)</f>
        <v>17</v>
      </c>
      <c r="G65" s="229">
        <f>H65/F65</f>
        <v>1</v>
      </c>
      <c r="H65" s="230">
        <f>SUM(H63:H64)</f>
        <v>17</v>
      </c>
      <c r="I65" s="231">
        <f>J65/H65</f>
        <v>1.5</v>
      </c>
      <c r="J65" s="310">
        <f>SUM(J63:J64)</f>
        <v>25.5</v>
      </c>
      <c r="K65" s="228">
        <f>E65-F65</f>
        <v>7</v>
      </c>
      <c r="L65" s="229">
        <f>M65/K65</f>
        <v>1</v>
      </c>
      <c r="M65" s="230">
        <f>SUM(M63:M64)</f>
        <v>7</v>
      </c>
      <c r="N65" s="231">
        <f>O65/M65</f>
        <v>0.1002</v>
      </c>
      <c r="O65" s="310">
        <f>SUM(O63:O64)</f>
        <v>0.70140000000000002</v>
      </c>
      <c r="P65" s="368">
        <f t="shared" si="64"/>
        <v>26.2014</v>
      </c>
      <c r="Q65" s="206" t="s">
        <v>17</v>
      </c>
      <c r="R65" s="296" t="s">
        <v>17</v>
      </c>
      <c r="S65" s="209">
        <f>SUM(S63:S64)</f>
        <v>252.64699949999999</v>
      </c>
    </row>
    <row r="66" spans="1:44" s="100" customFormat="1" ht="26.1" customHeight="1" x14ac:dyDescent="0.25">
      <c r="A66" s="466"/>
      <c r="B66" s="503" t="s">
        <v>144</v>
      </c>
      <c r="C66" s="507" t="s">
        <v>171</v>
      </c>
      <c r="D66" s="317" t="s">
        <v>197</v>
      </c>
      <c r="E66" s="177">
        <v>3170</v>
      </c>
      <c r="F66" s="150">
        <f>E66*0.12</f>
        <v>380.4</v>
      </c>
      <c r="G66" s="151">
        <v>1</v>
      </c>
      <c r="H66" s="152">
        <f>F66*G66</f>
        <v>380.4</v>
      </c>
      <c r="I66" s="213">
        <v>5.0099999999999999E-2</v>
      </c>
      <c r="J66" s="353">
        <f>H66*I66</f>
        <v>19.058039999999998</v>
      </c>
      <c r="K66" s="150">
        <f>E66-F66</f>
        <v>2789.6</v>
      </c>
      <c r="L66" s="151">
        <v>1</v>
      </c>
      <c r="M66" s="151">
        <f>K66*L66</f>
        <v>2789.6</v>
      </c>
      <c r="N66" s="213">
        <v>1.67E-2</v>
      </c>
      <c r="O66" s="353">
        <f t="shared" ref="O66:O89" si="65">N66*M66</f>
        <v>46.586320000000001</v>
      </c>
      <c r="P66" s="364">
        <f>O66+J66</f>
        <v>65.644360000000006</v>
      </c>
      <c r="Q66" s="153">
        <v>7.25</v>
      </c>
      <c r="R66" s="294">
        <f>Q66*1.33</f>
        <v>9.6425000000000001</v>
      </c>
      <c r="S66" s="141">
        <f>R66*P66</f>
        <v>632.9757413000001</v>
      </c>
    </row>
    <row r="67" spans="1:44" s="100" customFormat="1" ht="26.1" customHeight="1" x14ac:dyDescent="0.25">
      <c r="A67" s="466"/>
      <c r="B67" s="505"/>
      <c r="C67" s="508"/>
      <c r="D67" s="318" t="s">
        <v>198</v>
      </c>
      <c r="E67" s="174">
        <v>3170</v>
      </c>
      <c r="F67" s="182">
        <f>(E67-F66)*0.03</f>
        <v>83.687999999999988</v>
      </c>
      <c r="G67" s="183">
        <v>1</v>
      </c>
      <c r="H67" s="184">
        <f>F67*G67</f>
        <v>83.687999999999988</v>
      </c>
      <c r="I67" s="214">
        <f>0.0167</f>
        <v>1.67E-2</v>
      </c>
      <c r="J67" s="354">
        <f t="shared" ref="J67:J74" si="66">H67*I67</f>
        <v>1.3975895999999999</v>
      </c>
      <c r="K67" s="182">
        <f>E67-F67</f>
        <v>3086.3119999999999</v>
      </c>
      <c r="L67" s="154">
        <v>1</v>
      </c>
      <c r="M67" s="154">
        <f>K67*L67</f>
        <v>3086.3119999999999</v>
      </c>
      <c r="N67" s="217">
        <v>1.67E-2</v>
      </c>
      <c r="O67" s="345">
        <f t="shared" ref="O67" si="67">N67*M67</f>
        <v>51.541410399999997</v>
      </c>
      <c r="P67" s="362">
        <f>O67+J67</f>
        <v>52.938999999999993</v>
      </c>
      <c r="Q67" s="155">
        <v>7.25</v>
      </c>
      <c r="R67" s="143">
        <f t="shared" ref="R67:R78" si="68">Q67*1.33</f>
        <v>9.6425000000000001</v>
      </c>
      <c r="S67" s="141">
        <f t="shared" ref="S67:S77" si="69">R67*P67</f>
        <v>510.46430749999996</v>
      </c>
    </row>
    <row r="68" spans="1:44" s="100" customFormat="1" ht="26.1" customHeight="1" x14ac:dyDescent="0.25">
      <c r="A68" s="466"/>
      <c r="B68" s="505"/>
      <c r="C68" s="508"/>
      <c r="D68" s="318" t="s">
        <v>199</v>
      </c>
      <c r="E68" s="178">
        <v>2705.9119999999998</v>
      </c>
      <c r="F68" s="182">
        <f>E68*0.09</f>
        <v>243.53207999999998</v>
      </c>
      <c r="G68" s="183">
        <v>1</v>
      </c>
      <c r="H68" s="184">
        <f t="shared" ref="H68:H90" si="70">F68*G68</f>
        <v>243.53207999999998</v>
      </c>
      <c r="I68" s="214">
        <f>I66</f>
        <v>5.0099999999999999E-2</v>
      </c>
      <c r="J68" s="354">
        <f t="shared" si="66"/>
        <v>12.200957207999998</v>
      </c>
      <c r="K68" s="182">
        <f t="shared" ref="K68:K90" si="71">E68-F68</f>
        <v>2462.3799199999999</v>
      </c>
      <c r="L68" s="154">
        <v>1</v>
      </c>
      <c r="M68" s="154">
        <f t="shared" ref="M68:M90" si="72">K68*L68</f>
        <v>2462.3799199999999</v>
      </c>
      <c r="N68" s="217">
        <v>1.67E-2</v>
      </c>
      <c r="O68" s="345">
        <f t="shared" si="65"/>
        <v>41.121744663999998</v>
      </c>
      <c r="P68" s="362">
        <f t="shared" ref="P68:P89" si="73">O68+J68</f>
        <v>53.322701871999996</v>
      </c>
      <c r="Q68" s="155">
        <v>7.25</v>
      </c>
      <c r="R68" s="294">
        <f t="shared" si="68"/>
        <v>9.6425000000000001</v>
      </c>
      <c r="S68" s="141">
        <f t="shared" si="69"/>
        <v>514.16415280076001</v>
      </c>
      <c r="X68" s="132"/>
    </row>
    <row r="69" spans="1:44" s="100" customFormat="1" ht="26.1" customHeight="1" x14ac:dyDescent="0.25">
      <c r="A69" s="466"/>
      <c r="B69" s="505"/>
      <c r="C69" s="508"/>
      <c r="D69" s="318" t="s">
        <v>199</v>
      </c>
      <c r="E69" s="178">
        <v>2462.3799199999999</v>
      </c>
      <c r="F69" s="185">
        <v>148</v>
      </c>
      <c r="G69" s="183">
        <v>1</v>
      </c>
      <c r="H69" s="186">
        <f t="shared" si="70"/>
        <v>148</v>
      </c>
      <c r="I69" s="214">
        <v>5.0099999999999999E-2</v>
      </c>
      <c r="J69" s="354">
        <f t="shared" si="66"/>
        <v>7.4147999999999996</v>
      </c>
      <c r="K69" s="182">
        <f t="shared" si="71"/>
        <v>2314.3799199999999</v>
      </c>
      <c r="L69" s="154">
        <v>1</v>
      </c>
      <c r="M69" s="154">
        <f t="shared" si="72"/>
        <v>2314.3799199999999</v>
      </c>
      <c r="N69" s="217">
        <v>1.67E-2</v>
      </c>
      <c r="O69" s="345">
        <f t="shared" ref="O69:O74" si="74">N69*M69</f>
        <v>38.650144663999995</v>
      </c>
      <c r="P69" s="367">
        <f t="shared" si="73"/>
        <v>46.064944663999995</v>
      </c>
      <c r="Q69" s="155">
        <v>7.25</v>
      </c>
      <c r="R69" s="155">
        <f t="shared" si="68"/>
        <v>9.6425000000000001</v>
      </c>
      <c r="S69" s="141">
        <f t="shared" si="69"/>
        <v>444.18122892261994</v>
      </c>
      <c r="X69" s="132"/>
    </row>
    <row r="70" spans="1:44" s="100" customFormat="1" ht="26.1" customHeight="1" x14ac:dyDescent="0.25">
      <c r="A70" s="466"/>
      <c r="B70" s="505"/>
      <c r="C70" s="508"/>
      <c r="D70" s="318" t="s">
        <v>200</v>
      </c>
      <c r="E70" s="178">
        <v>15</v>
      </c>
      <c r="F70" s="187">
        <f>E70</f>
        <v>15</v>
      </c>
      <c r="G70" s="183">
        <v>1</v>
      </c>
      <c r="H70" s="188">
        <f t="shared" si="70"/>
        <v>15</v>
      </c>
      <c r="I70" s="214">
        <f>I67</f>
        <v>1.67E-2</v>
      </c>
      <c r="J70" s="354">
        <f t="shared" si="66"/>
        <v>0.2505</v>
      </c>
      <c r="K70" s="182">
        <f t="shared" ref="K70" si="75">E70-F70</f>
        <v>0</v>
      </c>
      <c r="L70" s="154">
        <v>0</v>
      </c>
      <c r="M70" s="154">
        <f t="shared" ref="M70" si="76">K70*L70</f>
        <v>0</v>
      </c>
      <c r="N70" s="154">
        <v>0</v>
      </c>
      <c r="O70" s="348">
        <f t="shared" ref="O70" si="77">N70*M70</f>
        <v>0</v>
      </c>
      <c r="P70" s="367">
        <f t="shared" ref="P70" si="78">O70+J70</f>
        <v>0.2505</v>
      </c>
      <c r="Q70" s="155">
        <v>7.25</v>
      </c>
      <c r="R70" s="143">
        <f t="shared" si="68"/>
        <v>9.6425000000000001</v>
      </c>
      <c r="S70" s="141">
        <f t="shared" si="69"/>
        <v>2.41544625</v>
      </c>
    </row>
    <row r="71" spans="1:44" s="100" customFormat="1" ht="26.1" customHeight="1" x14ac:dyDescent="0.25">
      <c r="A71" s="466"/>
      <c r="B71" s="505"/>
      <c r="C71" s="508"/>
      <c r="D71" s="318" t="s">
        <v>201</v>
      </c>
      <c r="E71" s="178">
        <v>15</v>
      </c>
      <c r="F71" s="323">
        <v>15</v>
      </c>
      <c r="G71" s="183">
        <v>1</v>
      </c>
      <c r="H71" s="188">
        <f t="shared" si="70"/>
        <v>15</v>
      </c>
      <c r="I71" s="214">
        <f>I69</f>
        <v>5.0099999999999999E-2</v>
      </c>
      <c r="J71" s="354">
        <f t="shared" si="66"/>
        <v>0.75149999999999995</v>
      </c>
      <c r="K71" s="182">
        <v>0</v>
      </c>
      <c r="L71" s="154">
        <v>0</v>
      </c>
      <c r="M71" s="154">
        <v>0</v>
      </c>
      <c r="N71" s="154">
        <v>0</v>
      </c>
      <c r="O71" s="348">
        <v>0</v>
      </c>
      <c r="P71" s="367">
        <f t="shared" si="73"/>
        <v>0.75149999999999995</v>
      </c>
      <c r="Q71" s="155">
        <v>7.25</v>
      </c>
      <c r="R71" s="294">
        <f t="shared" si="68"/>
        <v>9.6425000000000001</v>
      </c>
      <c r="S71" s="141">
        <f t="shared" si="69"/>
        <v>7.2463387499999996</v>
      </c>
    </row>
    <row r="72" spans="1:44" s="100" customFormat="1" ht="26.1" customHeight="1" x14ac:dyDescent="0.25">
      <c r="A72" s="466"/>
      <c r="B72" s="505"/>
      <c r="C72" s="508"/>
      <c r="D72" s="318" t="s">
        <v>202</v>
      </c>
      <c r="E72" s="178">
        <v>666</v>
      </c>
      <c r="F72" s="182">
        <v>51</v>
      </c>
      <c r="G72" s="183">
        <v>1</v>
      </c>
      <c r="H72" s="189">
        <f t="shared" si="70"/>
        <v>51</v>
      </c>
      <c r="I72" s="214">
        <f>I66</f>
        <v>5.0099999999999999E-2</v>
      </c>
      <c r="J72" s="354">
        <f t="shared" si="66"/>
        <v>2.5550999999999999</v>
      </c>
      <c r="K72" s="182">
        <f t="shared" si="71"/>
        <v>615</v>
      </c>
      <c r="L72" s="154">
        <v>1</v>
      </c>
      <c r="M72" s="154">
        <f t="shared" si="72"/>
        <v>615</v>
      </c>
      <c r="N72" s="217">
        <v>1.67E-2</v>
      </c>
      <c r="O72" s="345">
        <f t="shared" si="74"/>
        <v>10.2705</v>
      </c>
      <c r="P72" s="367">
        <f t="shared" si="73"/>
        <v>12.8256</v>
      </c>
      <c r="Q72" s="155">
        <v>7.25</v>
      </c>
      <c r="R72" s="294">
        <f t="shared" si="68"/>
        <v>9.6425000000000001</v>
      </c>
      <c r="S72" s="141">
        <f t="shared" si="69"/>
        <v>123.67084799999999</v>
      </c>
    </row>
    <row r="73" spans="1:44" s="100" customFormat="1" ht="26.1" customHeight="1" x14ac:dyDescent="0.25">
      <c r="A73" s="466"/>
      <c r="B73" s="505"/>
      <c r="C73" s="508"/>
      <c r="D73" s="380" t="s">
        <v>207</v>
      </c>
      <c r="E73" s="175">
        <v>3170</v>
      </c>
      <c r="F73" s="185">
        <v>922</v>
      </c>
      <c r="G73" s="190">
        <v>1</v>
      </c>
      <c r="H73" s="191">
        <f t="shared" ref="H73:H74" si="79">F73*G73</f>
        <v>922</v>
      </c>
      <c r="I73" s="223">
        <v>8.3500000000000005E-2</v>
      </c>
      <c r="J73" s="355">
        <f t="shared" si="66"/>
        <v>76.987000000000009</v>
      </c>
      <c r="K73" s="185">
        <f t="shared" ref="K73:K74" si="80">E73-F73</f>
        <v>2248</v>
      </c>
      <c r="L73" s="142">
        <v>1</v>
      </c>
      <c r="M73" s="154">
        <f t="shared" ref="M73:M74" si="81">K73*L73</f>
        <v>2248</v>
      </c>
      <c r="N73" s="214">
        <v>1.67E-2</v>
      </c>
      <c r="O73" s="345">
        <f t="shared" si="74"/>
        <v>37.541600000000003</v>
      </c>
      <c r="P73" s="367">
        <f t="shared" ref="P73:P74" si="82">O73+J73</f>
        <v>114.52860000000001</v>
      </c>
      <c r="Q73" s="155">
        <v>7.25</v>
      </c>
      <c r="R73" s="155">
        <f t="shared" ref="R73:R74" si="83">Q73*1.33</f>
        <v>9.6425000000000001</v>
      </c>
      <c r="S73" s="141">
        <f t="shared" ref="S73:S74" si="84">R73*P73</f>
        <v>1104.3420255000001</v>
      </c>
    </row>
    <row r="74" spans="1:44" s="100" customFormat="1" ht="26.1" customHeight="1" x14ac:dyDescent="0.25">
      <c r="A74" s="466"/>
      <c r="B74" s="505"/>
      <c r="C74" s="509"/>
      <c r="D74" s="380" t="s">
        <v>208</v>
      </c>
      <c r="E74" s="175">
        <v>3170</v>
      </c>
      <c r="F74" s="185">
        <v>922</v>
      </c>
      <c r="G74" s="190">
        <v>1</v>
      </c>
      <c r="H74" s="191">
        <f t="shared" si="79"/>
        <v>922</v>
      </c>
      <c r="I74" s="223">
        <v>0.1002</v>
      </c>
      <c r="J74" s="355">
        <f t="shared" si="66"/>
        <v>92.384399999999999</v>
      </c>
      <c r="K74" s="185">
        <f t="shared" si="80"/>
        <v>2248</v>
      </c>
      <c r="L74" s="142">
        <v>1</v>
      </c>
      <c r="M74" s="154">
        <f t="shared" si="81"/>
        <v>2248</v>
      </c>
      <c r="N74" s="214">
        <v>1.67E-2</v>
      </c>
      <c r="O74" s="345">
        <f t="shared" si="74"/>
        <v>37.541600000000003</v>
      </c>
      <c r="P74" s="367">
        <f t="shared" si="82"/>
        <v>129.92599999999999</v>
      </c>
      <c r="Q74" s="155">
        <v>7.25</v>
      </c>
      <c r="R74" s="155">
        <f t="shared" si="83"/>
        <v>9.6425000000000001</v>
      </c>
      <c r="S74" s="141">
        <f t="shared" si="84"/>
        <v>1252.8114549999998</v>
      </c>
    </row>
    <row r="75" spans="1:44" s="131" customFormat="1" ht="26.1" customHeight="1" x14ac:dyDescent="0.25">
      <c r="A75" s="466"/>
      <c r="B75" s="505"/>
      <c r="C75" s="472" t="s">
        <v>147</v>
      </c>
      <c r="D75" s="315" t="s">
        <v>183</v>
      </c>
      <c r="E75" s="175">
        <v>3170</v>
      </c>
      <c r="F75" s="185">
        <f>SUM(F66:F70,F72)</f>
        <v>921.62007999999992</v>
      </c>
      <c r="G75" s="190">
        <v>1</v>
      </c>
      <c r="H75" s="191">
        <f t="shared" si="70"/>
        <v>921.62007999999992</v>
      </c>
      <c r="I75" s="223">
        <v>0.66800000000000004</v>
      </c>
      <c r="J75" s="355">
        <f t="shared" ref="J75:J82" si="85">H75*I75</f>
        <v>615.64221343999998</v>
      </c>
      <c r="K75" s="185">
        <f t="shared" si="71"/>
        <v>2248.3799200000003</v>
      </c>
      <c r="L75" s="142">
        <v>1</v>
      </c>
      <c r="M75" s="154">
        <f t="shared" si="72"/>
        <v>2248.3799200000003</v>
      </c>
      <c r="N75" s="214">
        <v>1.67E-2</v>
      </c>
      <c r="O75" s="345">
        <f t="shared" si="65"/>
        <v>37.547944664000006</v>
      </c>
      <c r="P75" s="367">
        <f t="shared" si="73"/>
        <v>653.19015810400003</v>
      </c>
      <c r="Q75" s="155">
        <v>7.25</v>
      </c>
      <c r="R75" s="155">
        <f t="shared" si="68"/>
        <v>9.6425000000000001</v>
      </c>
      <c r="S75" s="141">
        <f t="shared" si="69"/>
        <v>6298.3860995178202</v>
      </c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</row>
    <row r="76" spans="1:44" s="100" customFormat="1" ht="26.1" customHeight="1" x14ac:dyDescent="0.25">
      <c r="A76" s="466"/>
      <c r="B76" s="505"/>
      <c r="C76" s="473"/>
      <c r="D76" s="319" t="s">
        <v>203</v>
      </c>
      <c r="E76" s="173">
        <v>922</v>
      </c>
      <c r="F76" s="179">
        <v>922</v>
      </c>
      <c r="G76" s="192">
        <v>1</v>
      </c>
      <c r="H76" s="191">
        <f t="shared" si="70"/>
        <v>922</v>
      </c>
      <c r="I76" s="215">
        <v>1.67E-2</v>
      </c>
      <c r="J76" s="355">
        <f t="shared" si="85"/>
        <v>15.397399999999999</v>
      </c>
      <c r="K76" s="194">
        <v>0</v>
      </c>
      <c r="L76" s="139">
        <v>0</v>
      </c>
      <c r="M76" s="154">
        <f t="shared" si="72"/>
        <v>0</v>
      </c>
      <c r="N76" s="183">
        <v>0</v>
      </c>
      <c r="O76" s="348">
        <f t="shared" si="65"/>
        <v>0</v>
      </c>
      <c r="P76" s="367">
        <f t="shared" si="73"/>
        <v>15.397399999999999</v>
      </c>
      <c r="Q76" s="155">
        <v>7.25</v>
      </c>
      <c r="R76" s="155">
        <f t="shared" si="68"/>
        <v>9.6425000000000001</v>
      </c>
      <c r="S76" s="141">
        <f t="shared" si="69"/>
        <v>148.46942949999999</v>
      </c>
    </row>
    <row r="77" spans="1:44" s="100" customFormat="1" ht="55.2" x14ac:dyDescent="0.25">
      <c r="A77" s="466"/>
      <c r="B77" s="505"/>
      <c r="C77" s="312" t="s">
        <v>172</v>
      </c>
      <c r="D77" s="319" t="s">
        <v>204</v>
      </c>
      <c r="E77" s="173">
        <v>360</v>
      </c>
      <c r="F77" s="179">
        <v>58</v>
      </c>
      <c r="G77" s="192">
        <v>1</v>
      </c>
      <c r="H77" s="193">
        <f>F77*G77</f>
        <v>58</v>
      </c>
      <c r="I77" s="215">
        <v>5.0099999999999999E-2</v>
      </c>
      <c r="J77" s="308">
        <f t="shared" si="85"/>
        <v>2.9057999999999997</v>
      </c>
      <c r="K77" s="194">
        <f>E77-F77</f>
        <v>302</v>
      </c>
      <c r="L77" s="139">
        <v>1</v>
      </c>
      <c r="M77" s="142">
        <f>K77*L77</f>
        <v>302</v>
      </c>
      <c r="N77" s="223">
        <v>1.67E-2</v>
      </c>
      <c r="O77" s="347">
        <f t="shared" ref="O77:O78" si="86">N77*M77</f>
        <v>5.0434000000000001</v>
      </c>
      <c r="P77" s="366">
        <f>O77+J77</f>
        <v>7.9491999999999994</v>
      </c>
      <c r="Q77" s="143">
        <v>7.25</v>
      </c>
      <c r="R77" s="155">
        <f t="shared" si="68"/>
        <v>9.6425000000000001</v>
      </c>
      <c r="S77" s="141">
        <f t="shared" si="69"/>
        <v>76.650160999999997</v>
      </c>
      <c r="T77" s="172"/>
    </row>
    <row r="78" spans="1:44" s="100" customFormat="1" ht="26.1" customHeight="1" thickBot="1" x14ac:dyDescent="0.3">
      <c r="A78" s="466"/>
      <c r="B78" s="504"/>
      <c r="C78" s="158" t="s">
        <v>173</v>
      </c>
      <c r="D78" s="320" t="s">
        <v>182</v>
      </c>
      <c r="E78" s="176">
        <v>58</v>
      </c>
      <c r="F78" s="195">
        <v>58</v>
      </c>
      <c r="G78" s="196">
        <v>1</v>
      </c>
      <c r="H78" s="197">
        <f>F78*G78</f>
        <v>58</v>
      </c>
      <c r="I78" s="216">
        <v>1</v>
      </c>
      <c r="J78" s="309">
        <f t="shared" si="85"/>
        <v>58</v>
      </c>
      <c r="K78" s="198">
        <f t="shared" ref="K78:K79" si="87">E78-F78</f>
        <v>0</v>
      </c>
      <c r="L78" s="145">
        <v>0</v>
      </c>
      <c r="M78" s="145">
        <f t="shared" ref="M78" si="88">K78*L78</f>
        <v>0</v>
      </c>
      <c r="N78" s="145">
        <v>0</v>
      </c>
      <c r="O78" s="349">
        <f t="shared" si="86"/>
        <v>0</v>
      </c>
      <c r="P78" s="369">
        <f t="shared" ref="P78:P79" si="89">O78+J78</f>
        <v>58</v>
      </c>
      <c r="Q78" s="146">
        <v>7.25</v>
      </c>
      <c r="R78" s="146">
        <f t="shared" si="68"/>
        <v>9.6425000000000001</v>
      </c>
      <c r="S78" s="141">
        <f>R78*P78</f>
        <v>559.26499999999999</v>
      </c>
    </row>
    <row r="79" spans="1:44" s="227" customFormat="1" ht="26.1" customHeight="1" thickBot="1" x14ac:dyDescent="0.3">
      <c r="A79" s="466"/>
      <c r="B79" s="469" t="s">
        <v>145</v>
      </c>
      <c r="C79" s="470"/>
      <c r="D79" s="471"/>
      <c r="E79" s="249">
        <f>E66</f>
        <v>3170</v>
      </c>
      <c r="F79" s="228">
        <f>F75</f>
        <v>921.62007999999992</v>
      </c>
      <c r="G79" s="229">
        <f>H79/F79</f>
        <v>5.1433776920311889</v>
      </c>
      <c r="H79" s="230">
        <f>SUM(H66:H78)</f>
        <v>4740.2401599999994</v>
      </c>
      <c r="I79" s="231">
        <f>J79/H79</f>
        <v>0.1909070573858857</v>
      </c>
      <c r="J79" s="310">
        <f>SUM(J66:J78)</f>
        <v>904.94530024799997</v>
      </c>
      <c r="K79" s="228">
        <f t="shared" si="87"/>
        <v>2248.3799200000003</v>
      </c>
      <c r="L79" s="229">
        <f>M79/K79</f>
        <v>8.1454435689854385</v>
      </c>
      <c r="M79" s="230">
        <f>SUM(M66:M78)</f>
        <v>18314.051759999998</v>
      </c>
      <c r="N79" s="231">
        <f>O79/M79</f>
        <v>1.6700000000000003E-2</v>
      </c>
      <c r="O79" s="310">
        <f>SUM(O66:O78)</f>
        <v>305.84466439200003</v>
      </c>
      <c r="P79" s="371">
        <f t="shared" si="89"/>
        <v>1210.7899646400001</v>
      </c>
      <c r="Q79" s="232" t="s">
        <v>17</v>
      </c>
      <c r="R79" s="297" t="s">
        <v>17</v>
      </c>
      <c r="S79" s="233">
        <f>SUM(S66:S78)</f>
        <v>11675.042234041201</v>
      </c>
    </row>
    <row r="80" spans="1:44" s="100" customFormat="1" ht="55.2" x14ac:dyDescent="0.25">
      <c r="A80" s="466"/>
      <c r="B80" s="505" t="s">
        <v>142</v>
      </c>
      <c r="C80" s="506" t="s">
        <v>172</v>
      </c>
      <c r="D80" s="319" t="s">
        <v>204</v>
      </c>
      <c r="E80" s="384">
        <v>145</v>
      </c>
      <c r="F80" s="383">
        <v>29</v>
      </c>
      <c r="G80" s="199">
        <v>1</v>
      </c>
      <c r="H80" s="200">
        <f>F80*G80</f>
        <v>29</v>
      </c>
      <c r="I80" s="220">
        <v>5.0099999999999999E-2</v>
      </c>
      <c r="J80" s="356">
        <f t="shared" si="85"/>
        <v>1.4528999999999999</v>
      </c>
      <c r="K80" s="201">
        <f>E80-F80</f>
        <v>116</v>
      </c>
      <c r="L80" s="148">
        <v>1</v>
      </c>
      <c r="M80" s="148">
        <f>K80*L80</f>
        <v>116</v>
      </c>
      <c r="N80" s="222">
        <v>1.67E-2</v>
      </c>
      <c r="O80" s="359">
        <f t="shared" ref="O80:O82" si="90">N80*M80</f>
        <v>1.9372</v>
      </c>
      <c r="P80" s="372">
        <f>O80+J80</f>
        <v>3.3900999999999999</v>
      </c>
      <c r="Q80" s="149">
        <v>7.25</v>
      </c>
      <c r="R80" s="295">
        <f>Q80*1.333</f>
        <v>9.6642499999999991</v>
      </c>
      <c r="S80" s="302">
        <f>R80*P80</f>
        <v>32.762773924999998</v>
      </c>
    </row>
    <row r="81" spans="1:20" s="100" customFormat="1" ht="27.6" x14ac:dyDescent="0.25">
      <c r="A81" s="466"/>
      <c r="B81" s="505"/>
      <c r="C81" s="473"/>
      <c r="D81" s="381" t="s">
        <v>206</v>
      </c>
      <c r="E81" s="326">
        <v>145</v>
      </c>
      <c r="F81" s="185">
        <v>29</v>
      </c>
      <c r="G81" s="190">
        <v>1</v>
      </c>
      <c r="H81" s="193">
        <f>F81*G81</f>
        <v>29</v>
      </c>
      <c r="I81" s="223">
        <v>1.67E-2</v>
      </c>
      <c r="J81" s="355">
        <f t="shared" si="85"/>
        <v>0.48430000000000001</v>
      </c>
      <c r="K81" s="203">
        <f>E81-F81</f>
        <v>116</v>
      </c>
      <c r="L81" s="340">
        <v>1</v>
      </c>
      <c r="M81" s="340">
        <f>K81*L81</f>
        <v>116</v>
      </c>
      <c r="N81" s="341">
        <v>1.67E-2</v>
      </c>
      <c r="O81" s="360">
        <f t="shared" si="90"/>
        <v>1.9372</v>
      </c>
      <c r="P81" s="363">
        <f>O81+J81</f>
        <v>2.4215</v>
      </c>
      <c r="Q81" s="153">
        <v>7.25</v>
      </c>
      <c r="R81" s="294">
        <f>Q81*1.333</f>
        <v>9.6642499999999991</v>
      </c>
      <c r="S81" s="301">
        <f>R81*P81</f>
        <v>23.401981374999998</v>
      </c>
    </row>
    <row r="82" spans="1:20" s="100" customFormat="1" ht="26.1" customHeight="1" thickBot="1" x14ac:dyDescent="0.3">
      <c r="A82" s="466"/>
      <c r="B82" s="504"/>
      <c r="C82" s="158" t="s">
        <v>173</v>
      </c>
      <c r="D82" s="320" t="s">
        <v>182</v>
      </c>
      <c r="E82" s="180">
        <v>29</v>
      </c>
      <c r="F82" s="202">
        <v>29</v>
      </c>
      <c r="G82" s="196">
        <v>1</v>
      </c>
      <c r="H82" s="197">
        <f>F82*G82</f>
        <v>29</v>
      </c>
      <c r="I82" s="216">
        <v>1</v>
      </c>
      <c r="J82" s="309">
        <f t="shared" si="85"/>
        <v>29</v>
      </c>
      <c r="K82" s="198">
        <f t="shared" ref="K82:K83" si="91">E82-F82</f>
        <v>0</v>
      </c>
      <c r="L82" s="145">
        <v>0</v>
      </c>
      <c r="M82" s="145">
        <f t="shared" ref="M82" si="92">K82*L82</f>
        <v>0</v>
      </c>
      <c r="N82" s="145">
        <v>0</v>
      </c>
      <c r="O82" s="349">
        <f t="shared" si="90"/>
        <v>0</v>
      </c>
      <c r="P82" s="367">
        <f t="shared" ref="P82:P83" si="93">O82+J82</f>
        <v>29</v>
      </c>
      <c r="Q82" s="155">
        <v>7.25</v>
      </c>
      <c r="R82" s="155">
        <f>Q82*1.333</f>
        <v>9.6642499999999991</v>
      </c>
      <c r="S82" s="157">
        <f>R82*P82</f>
        <v>280.26324999999997</v>
      </c>
    </row>
    <row r="83" spans="1:20" s="227" customFormat="1" ht="26.1" customHeight="1" thickBot="1" x14ac:dyDescent="0.3">
      <c r="A83" s="466"/>
      <c r="B83" s="469" t="s">
        <v>143</v>
      </c>
      <c r="C83" s="470"/>
      <c r="D83" s="471"/>
      <c r="E83" s="387">
        <f>E80</f>
        <v>145</v>
      </c>
      <c r="F83" s="390">
        <f>F80</f>
        <v>29</v>
      </c>
      <c r="G83" s="391">
        <f>H83/F83</f>
        <v>3</v>
      </c>
      <c r="H83" s="392">
        <f>SUM(H80:H82)</f>
        <v>87</v>
      </c>
      <c r="I83" s="393">
        <f>J83/H83</f>
        <v>0.35560000000000003</v>
      </c>
      <c r="J83" s="357">
        <f>SUM(J80:J82)</f>
        <v>30.937200000000001</v>
      </c>
      <c r="K83" s="390">
        <f t="shared" si="91"/>
        <v>116</v>
      </c>
      <c r="L83" s="394">
        <f>M83/K83</f>
        <v>2</v>
      </c>
      <c r="M83" s="234">
        <f>SUM(M80:M82)</f>
        <v>232</v>
      </c>
      <c r="N83" s="393">
        <f>O83/M83</f>
        <v>1.67E-2</v>
      </c>
      <c r="O83" s="395">
        <f>SUM(O80:O82)</f>
        <v>3.8744000000000001</v>
      </c>
      <c r="P83" s="373">
        <f t="shared" si="93"/>
        <v>34.811599999999999</v>
      </c>
      <c r="Q83" s="303" t="s">
        <v>17</v>
      </c>
      <c r="R83" s="304" t="s">
        <v>17</v>
      </c>
      <c r="S83" s="305">
        <f>SUM(S80:S82)</f>
        <v>336.4280053</v>
      </c>
    </row>
    <row r="84" spans="1:20" s="100" customFormat="1" ht="51" customHeight="1" x14ac:dyDescent="0.25">
      <c r="A84" s="466"/>
      <c r="B84" s="405" t="s">
        <v>215</v>
      </c>
      <c r="C84" s="406" t="s">
        <v>171</v>
      </c>
      <c r="D84" s="407" t="s">
        <v>216</v>
      </c>
      <c r="E84" s="408">
        <v>128</v>
      </c>
      <c r="F84" s="409">
        <v>128</v>
      </c>
      <c r="G84" s="410">
        <v>1</v>
      </c>
      <c r="H84" s="411">
        <f>F84*G84</f>
        <v>128</v>
      </c>
      <c r="I84" s="412">
        <v>8.3500000000000005E-2</v>
      </c>
      <c r="J84" s="413">
        <f>H84*I84</f>
        <v>10.688000000000001</v>
      </c>
      <c r="K84" s="409">
        <f t="shared" si="71"/>
        <v>0</v>
      </c>
      <c r="L84" s="410">
        <v>0</v>
      </c>
      <c r="M84" s="410">
        <f t="shared" si="72"/>
        <v>0</v>
      </c>
      <c r="N84" s="410">
        <v>0</v>
      </c>
      <c r="O84" s="414">
        <f t="shared" si="65"/>
        <v>0</v>
      </c>
      <c r="P84" s="415">
        <f t="shared" si="73"/>
        <v>10.688000000000001</v>
      </c>
      <c r="Q84" s="416">
        <v>36.590000000000003</v>
      </c>
      <c r="R84" s="417">
        <f>Q84*1.33</f>
        <v>48.664700000000011</v>
      </c>
      <c r="S84" s="418">
        <f>R84*P84</f>
        <v>520.12831360000018</v>
      </c>
    </row>
    <row r="85" spans="1:20" s="100" customFormat="1" ht="51" customHeight="1" x14ac:dyDescent="0.25">
      <c r="A85" s="466"/>
      <c r="B85" s="403" t="s">
        <v>135</v>
      </c>
      <c r="C85" s="401" t="s">
        <v>171</v>
      </c>
      <c r="D85" s="317" t="s">
        <v>205</v>
      </c>
      <c r="E85" s="177">
        <v>9110</v>
      </c>
      <c r="F85" s="194">
        <f>E85*0.29</f>
        <v>2641.8999999999996</v>
      </c>
      <c r="G85" s="192">
        <v>1</v>
      </c>
      <c r="H85" s="186">
        <f>F85*G85</f>
        <v>2641.8999999999996</v>
      </c>
      <c r="I85" s="221">
        <f>I86*10</f>
        <v>0.16699999999999998</v>
      </c>
      <c r="J85" s="396">
        <f>H85*I85</f>
        <v>441.19729999999987</v>
      </c>
      <c r="K85" s="194">
        <f t="shared" si="71"/>
        <v>6468.1</v>
      </c>
      <c r="L85" s="139">
        <v>1</v>
      </c>
      <c r="M85" s="139">
        <f t="shared" si="72"/>
        <v>6468.1</v>
      </c>
      <c r="N85" s="388">
        <v>1.67E-2</v>
      </c>
      <c r="O85" s="389">
        <f t="shared" si="65"/>
        <v>108.01727</v>
      </c>
      <c r="P85" s="364">
        <f t="shared" si="73"/>
        <v>549.21456999999987</v>
      </c>
      <c r="Q85" s="140">
        <v>7.25</v>
      </c>
      <c r="R85" s="294">
        <f>Q85*1.33</f>
        <v>9.6425000000000001</v>
      </c>
      <c r="S85" s="301">
        <f>R85*P85</f>
        <v>5295.8014912249992</v>
      </c>
    </row>
    <row r="86" spans="1:20" s="100" customFormat="1" ht="26.1" customHeight="1" x14ac:dyDescent="0.25">
      <c r="A86" s="466"/>
      <c r="B86" s="403"/>
      <c r="C86" s="401"/>
      <c r="D86" s="318" t="s">
        <v>200</v>
      </c>
      <c r="E86" s="174">
        <f>E85*0.01</f>
        <v>91.100000000000009</v>
      </c>
      <c r="F86" s="185">
        <f>E86</f>
        <v>91.100000000000009</v>
      </c>
      <c r="G86" s="190">
        <v>1</v>
      </c>
      <c r="H86" s="186">
        <f>F86*G86</f>
        <v>91.100000000000009</v>
      </c>
      <c r="I86" s="221">
        <f>I70</f>
        <v>1.67E-2</v>
      </c>
      <c r="J86" s="354">
        <f t="shared" ref="J86:J91" si="94">H86*I86</f>
        <v>1.5213700000000001</v>
      </c>
      <c r="K86" s="185">
        <f>E86-F86</f>
        <v>0</v>
      </c>
      <c r="L86" s="142">
        <v>0</v>
      </c>
      <c r="M86" s="142">
        <f>K86*L86</f>
        <v>0</v>
      </c>
      <c r="N86" s="142">
        <v>0</v>
      </c>
      <c r="O86" s="175">
        <f t="shared" ref="O86" si="95">N86*M86</f>
        <v>0</v>
      </c>
      <c r="P86" s="364">
        <f>O86+J86</f>
        <v>1.5213700000000001</v>
      </c>
      <c r="Q86" s="143">
        <v>7.25</v>
      </c>
      <c r="R86" s="155">
        <f t="shared" ref="R86:R93" si="96">Q86*1.33</f>
        <v>9.6425000000000001</v>
      </c>
      <c r="S86" s="157">
        <f t="shared" ref="S86:S93" si="97">R86*P86</f>
        <v>14.669810225000001</v>
      </c>
    </row>
    <row r="87" spans="1:20" s="100" customFormat="1" ht="26.1" customHeight="1" x14ac:dyDescent="0.25">
      <c r="A87" s="466"/>
      <c r="B87" s="403"/>
      <c r="C87" s="401"/>
      <c r="D87" s="318" t="s">
        <v>201</v>
      </c>
      <c r="E87" s="178">
        <v>91.100000000000009</v>
      </c>
      <c r="F87" s="182">
        <v>91</v>
      </c>
      <c r="G87" s="183">
        <v>1</v>
      </c>
      <c r="H87" s="184">
        <f t="shared" si="70"/>
        <v>91</v>
      </c>
      <c r="I87" s="221">
        <f>I72</f>
        <v>5.0099999999999999E-2</v>
      </c>
      <c r="J87" s="354">
        <f t="shared" si="94"/>
        <v>4.5590999999999999</v>
      </c>
      <c r="K87" s="182">
        <f t="shared" si="71"/>
        <v>0.10000000000000853</v>
      </c>
      <c r="L87" s="154">
        <v>0</v>
      </c>
      <c r="M87" s="154">
        <f t="shared" si="72"/>
        <v>0</v>
      </c>
      <c r="N87" s="154">
        <v>0</v>
      </c>
      <c r="O87" s="348">
        <f t="shared" si="65"/>
        <v>0</v>
      </c>
      <c r="P87" s="362">
        <f t="shared" si="73"/>
        <v>4.5590999999999999</v>
      </c>
      <c r="Q87" s="155">
        <v>7.25</v>
      </c>
      <c r="R87" s="155">
        <f t="shared" si="96"/>
        <v>9.6425000000000001</v>
      </c>
      <c r="S87" s="157">
        <f>R87*P87</f>
        <v>43.961121749999997</v>
      </c>
    </row>
    <row r="88" spans="1:20" s="100" customFormat="1" ht="26.1" customHeight="1" x14ac:dyDescent="0.25">
      <c r="A88" s="466"/>
      <c r="B88" s="403"/>
      <c r="C88" s="401"/>
      <c r="D88" s="380" t="s">
        <v>207</v>
      </c>
      <c r="E88" s="178">
        <v>9110</v>
      </c>
      <c r="F88" s="182">
        <v>2732.8999999999996</v>
      </c>
      <c r="G88" s="183">
        <v>1</v>
      </c>
      <c r="H88" s="184">
        <f t="shared" si="70"/>
        <v>2732.8999999999996</v>
      </c>
      <c r="I88" s="221">
        <v>8.3500000000000005E-2</v>
      </c>
      <c r="J88" s="354">
        <f t="shared" si="94"/>
        <v>228.19714999999999</v>
      </c>
      <c r="K88" s="182">
        <f t="shared" si="71"/>
        <v>6377.1</v>
      </c>
      <c r="L88" s="154">
        <v>1</v>
      </c>
      <c r="M88" s="154">
        <f t="shared" si="72"/>
        <v>6377.1</v>
      </c>
      <c r="N88" s="217">
        <v>1.67E-2</v>
      </c>
      <c r="O88" s="345">
        <f t="shared" si="65"/>
        <v>106.49757000000001</v>
      </c>
      <c r="P88" s="362">
        <f t="shared" si="73"/>
        <v>334.69472000000002</v>
      </c>
      <c r="Q88" s="155">
        <v>7.25</v>
      </c>
      <c r="R88" s="155">
        <f t="shared" si="96"/>
        <v>9.6425000000000001</v>
      </c>
      <c r="S88" s="157">
        <f t="shared" ref="S88:S89" si="98">R88*P88</f>
        <v>3227.2938376000002</v>
      </c>
    </row>
    <row r="89" spans="1:20" s="100" customFormat="1" ht="26.1" customHeight="1" x14ac:dyDescent="0.25">
      <c r="A89" s="466"/>
      <c r="B89" s="403"/>
      <c r="C89" s="402"/>
      <c r="D89" s="380" t="s">
        <v>208</v>
      </c>
      <c r="E89" s="178">
        <v>9110</v>
      </c>
      <c r="F89" s="182">
        <v>2732.8999999999996</v>
      </c>
      <c r="G89" s="183">
        <v>1</v>
      </c>
      <c r="H89" s="184">
        <f t="shared" si="70"/>
        <v>2732.8999999999996</v>
      </c>
      <c r="I89" s="221">
        <v>0.1002</v>
      </c>
      <c r="J89" s="354">
        <f t="shared" si="94"/>
        <v>273.83657999999997</v>
      </c>
      <c r="K89" s="182">
        <f t="shared" si="71"/>
        <v>6377.1</v>
      </c>
      <c r="L89" s="154">
        <v>1</v>
      </c>
      <c r="M89" s="154">
        <f t="shared" si="72"/>
        <v>6377.1</v>
      </c>
      <c r="N89" s="217">
        <v>1.67E-2</v>
      </c>
      <c r="O89" s="345">
        <f t="shared" si="65"/>
        <v>106.49757000000001</v>
      </c>
      <c r="P89" s="362">
        <f t="shared" si="73"/>
        <v>380.33414999999997</v>
      </c>
      <c r="Q89" s="155">
        <v>7.25</v>
      </c>
      <c r="R89" s="155">
        <f t="shared" si="96"/>
        <v>9.6425000000000001</v>
      </c>
      <c r="S89" s="157">
        <f t="shared" si="98"/>
        <v>3667.3720413749998</v>
      </c>
    </row>
    <row r="90" spans="1:20" s="100" customFormat="1" ht="26.1" customHeight="1" x14ac:dyDescent="0.25">
      <c r="A90" s="466"/>
      <c r="B90" s="403"/>
      <c r="C90" s="501" t="s">
        <v>155</v>
      </c>
      <c r="D90" s="315" t="s">
        <v>183</v>
      </c>
      <c r="E90" s="174">
        <v>9110</v>
      </c>
      <c r="F90" s="185">
        <f>F87+F85</f>
        <v>2732.8999999999996</v>
      </c>
      <c r="G90" s="190">
        <v>1</v>
      </c>
      <c r="H90" s="184">
        <f t="shared" si="70"/>
        <v>2732.8999999999996</v>
      </c>
      <c r="I90" s="223">
        <f>I75</f>
        <v>0.66800000000000004</v>
      </c>
      <c r="J90" s="355">
        <f t="shared" si="94"/>
        <v>1825.5771999999999</v>
      </c>
      <c r="K90" s="185">
        <f t="shared" si="71"/>
        <v>6377.1</v>
      </c>
      <c r="L90" s="142">
        <v>1</v>
      </c>
      <c r="M90" s="142">
        <f t="shared" si="72"/>
        <v>6377.1</v>
      </c>
      <c r="N90" s="223">
        <v>1.67E-2</v>
      </c>
      <c r="O90" s="347">
        <f>N90*M90</f>
        <v>106.49757000000001</v>
      </c>
      <c r="P90" s="362">
        <f>O90+J90</f>
        <v>1932.0747699999999</v>
      </c>
      <c r="Q90" s="143">
        <v>7.25</v>
      </c>
      <c r="R90" s="155">
        <f t="shared" si="96"/>
        <v>9.6425000000000001</v>
      </c>
      <c r="S90" s="157">
        <f t="shared" si="97"/>
        <v>18630.030969725001</v>
      </c>
    </row>
    <row r="91" spans="1:20" s="100" customFormat="1" ht="26.1" customHeight="1" x14ac:dyDescent="0.25">
      <c r="A91" s="466"/>
      <c r="B91" s="403"/>
      <c r="C91" s="502"/>
      <c r="D91" s="319" t="s">
        <v>203</v>
      </c>
      <c r="E91" s="173">
        <v>2733</v>
      </c>
      <c r="F91" s="179">
        <v>2733</v>
      </c>
      <c r="G91" s="192">
        <v>1</v>
      </c>
      <c r="H91" s="191">
        <f t="shared" ref="H91" si="99">F91*G91</f>
        <v>2733</v>
      </c>
      <c r="I91" s="215">
        <v>1.67E-2</v>
      </c>
      <c r="J91" s="355">
        <f t="shared" si="94"/>
        <v>45.641100000000002</v>
      </c>
      <c r="K91" s="194">
        <v>0</v>
      </c>
      <c r="L91" s="139">
        <v>0</v>
      </c>
      <c r="M91" s="154">
        <f t="shared" ref="M91" si="100">K91*L91</f>
        <v>0</v>
      </c>
      <c r="N91" s="183">
        <v>0</v>
      </c>
      <c r="O91" s="348">
        <f t="shared" ref="O91" si="101">N91*M91</f>
        <v>0</v>
      </c>
      <c r="P91" s="367">
        <f t="shared" ref="P91" si="102">O91+J91</f>
        <v>45.641100000000002</v>
      </c>
      <c r="Q91" s="155">
        <v>7.25</v>
      </c>
      <c r="R91" s="155">
        <f t="shared" si="96"/>
        <v>9.6425000000000001</v>
      </c>
      <c r="S91" s="144">
        <f t="shared" si="97"/>
        <v>440.09430675000004</v>
      </c>
    </row>
    <row r="92" spans="1:20" s="100" customFormat="1" ht="55.2" x14ac:dyDescent="0.25">
      <c r="A92" s="466"/>
      <c r="B92" s="403"/>
      <c r="C92" s="312" t="s">
        <v>172</v>
      </c>
      <c r="D92" s="319" t="s">
        <v>204</v>
      </c>
      <c r="E92" s="174">
        <v>360</v>
      </c>
      <c r="F92" s="203">
        <v>57</v>
      </c>
      <c r="G92" s="192">
        <v>1</v>
      </c>
      <c r="H92" s="193">
        <f>F92*G92</f>
        <v>57</v>
      </c>
      <c r="I92" s="215">
        <v>5.0099999999999999E-2</v>
      </c>
      <c r="J92" s="308">
        <f>H92*I92</f>
        <v>2.8557000000000001</v>
      </c>
      <c r="K92" s="194">
        <f>E92-F92</f>
        <v>303</v>
      </c>
      <c r="L92" s="139">
        <v>1</v>
      </c>
      <c r="M92" s="142">
        <f>K92*L92</f>
        <v>303</v>
      </c>
      <c r="N92" s="218">
        <v>1.67E-2</v>
      </c>
      <c r="O92" s="347">
        <f t="shared" ref="O92:O93" si="103">N92*M92</f>
        <v>5.0601000000000003</v>
      </c>
      <c r="P92" s="366">
        <f>O92+J92</f>
        <v>7.9158000000000008</v>
      </c>
      <c r="Q92" s="143">
        <v>7.25</v>
      </c>
      <c r="R92" s="155">
        <f t="shared" si="96"/>
        <v>9.6425000000000001</v>
      </c>
      <c r="S92" s="157">
        <f t="shared" si="97"/>
        <v>76.328101500000002</v>
      </c>
    </row>
    <row r="93" spans="1:20" s="100" customFormat="1" ht="26.1" customHeight="1" thickBot="1" x14ac:dyDescent="0.3">
      <c r="A93" s="466"/>
      <c r="B93" s="404"/>
      <c r="C93" s="159" t="s">
        <v>136</v>
      </c>
      <c r="D93" s="320" t="s">
        <v>182</v>
      </c>
      <c r="E93" s="177">
        <v>57</v>
      </c>
      <c r="F93" s="198">
        <v>57</v>
      </c>
      <c r="G93" s="196">
        <v>1</v>
      </c>
      <c r="H93" s="197">
        <f>F93*G93</f>
        <v>57</v>
      </c>
      <c r="I93" s="216">
        <v>1</v>
      </c>
      <c r="J93" s="309">
        <f>H93*I93</f>
        <v>57</v>
      </c>
      <c r="K93" s="198">
        <f t="shared" ref="K93:K94" si="104">E93-F93</f>
        <v>0</v>
      </c>
      <c r="L93" s="145">
        <v>0</v>
      </c>
      <c r="M93" s="145">
        <f t="shared" ref="M93" si="105">K93*L93</f>
        <v>0</v>
      </c>
      <c r="N93" s="145">
        <v>0</v>
      </c>
      <c r="O93" s="349">
        <f t="shared" si="103"/>
        <v>0</v>
      </c>
      <c r="P93" s="367">
        <f t="shared" ref="P93:P95" si="106">O93+J93</f>
        <v>57</v>
      </c>
      <c r="Q93" s="146">
        <v>7.25</v>
      </c>
      <c r="R93" s="146">
        <f t="shared" si="96"/>
        <v>9.6425000000000001</v>
      </c>
      <c r="S93" s="147">
        <f t="shared" si="97"/>
        <v>549.62250000000006</v>
      </c>
    </row>
    <row r="94" spans="1:20" s="227" customFormat="1" ht="26.1" customHeight="1" thickBot="1" x14ac:dyDescent="0.3">
      <c r="A94" s="467"/>
      <c r="B94" s="469" t="s">
        <v>134</v>
      </c>
      <c r="C94" s="470"/>
      <c r="D94" s="471"/>
      <c r="E94" s="249">
        <f>E85+128</f>
        <v>9238</v>
      </c>
      <c r="F94" s="235">
        <f>F90+128</f>
        <v>2860.8999999999996</v>
      </c>
      <c r="G94" s="236">
        <f>H94/F94</f>
        <v>4.892761019259674</v>
      </c>
      <c r="H94" s="237">
        <f>SUM(H84:H93)</f>
        <v>13997.699999999999</v>
      </c>
      <c r="I94" s="239">
        <f>J94/H94</f>
        <v>0.20653918143695033</v>
      </c>
      <c r="J94" s="361">
        <f>SUM(J84:J93)</f>
        <v>2891.0734999999995</v>
      </c>
      <c r="K94" s="238">
        <f t="shared" si="104"/>
        <v>6377.1</v>
      </c>
      <c r="L94" s="236">
        <f>M94/K94</f>
        <v>4.0617835693340236</v>
      </c>
      <c r="M94" s="237">
        <f>SUM(M84:M93)</f>
        <v>25902.400000000001</v>
      </c>
      <c r="N94" s="239">
        <f>O94/M94</f>
        <v>1.6699999999999996E-2</v>
      </c>
      <c r="O94" s="361">
        <f>SUM(O84:O93)</f>
        <v>432.57007999999996</v>
      </c>
      <c r="P94" s="368">
        <f t="shared" si="106"/>
        <v>3323.6435799999995</v>
      </c>
      <c r="Q94" s="206" t="s">
        <v>17</v>
      </c>
      <c r="R94" s="296" t="s">
        <v>17</v>
      </c>
      <c r="S94" s="209">
        <f>SUM(S84:S93)</f>
        <v>32465.302493750005</v>
      </c>
    </row>
    <row r="95" spans="1:20" s="100" customFormat="1" ht="26.1" customHeight="1" thickBot="1" x14ac:dyDescent="0.3">
      <c r="A95" s="459" t="s">
        <v>146</v>
      </c>
      <c r="B95" s="460"/>
      <c r="C95" s="460"/>
      <c r="D95" s="461"/>
      <c r="E95" s="160">
        <f>E65+E79+E83+E94</f>
        <v>12577</v>
      </c>
      <c r="F95" s="161">
        <f>F65+F79+F83+F94</f>
        <v>3828.5200799999993</v>
      </c>
      <c r="G95" s="181">
        <f>H95/F95</f>
        <v>4.9214682870358617</v>
      </c>
      <c r="H95" s="162">
        <f>H65+H79+H83+H94</f>
        <v>18841.940159999998</v>
      </c>
      <c r="I95" s="224">
        <f>J95/H95</f>
        <v>0.20446174690791502</v>
      </c>
      <c r="J95" s="331">
        <f>J65+J79+J83+J94</f>
        <v>3852.4560002479993</v>
      </c>
      <c r="K95" s="250">
        <f>K65+K79+K83+K94</f>
        <v>8748.4799200000016</v>
      </c>
      <c r="L95" s="181">
        <f>M95/K95</f>
        <v>5.081505834901658</v>
      </c>
      <c r="M95" s="162">
        <f>M65+M79+M83+M94</f>
        <v>44455.451759999996</v>
      </c>
      <c r="N95" s="224">
        <f>O95/M95</f>
        <v>1.6713147993707399E-2</v>
      </c>
      <c r="O95" s="331">
        <f>O65+O79+O83+O94</f>
        <v>742.99054439199995</v>
      </c>
      <c r="P95" s="374">
        <f t="shared" si="106"/>
        <v>4595.446544639999</v>
      </c>
      <c r="Q95" s="163" t="s">
        <v>17</v>
      </c>
      <c r="R95" s="298" t="s">
        <v>17</v>
      </c>
      <c r="S95" s="311">
        <f>S65+S79+S83+S94</f>
        <v>44729.41973259121</v>
      </c>
    </row>
    <row r="96" spans="1:20" s="100" customFormat="1" ht="26.1" customHeight="1" thickBot="1" x14ac:dyDescent="0.3">
      <c r="A96" s="455" t="s">
        <v>0</v>
      </c>
      <c r="B96" s="455"/>
      <c r="C96" s="455"/>
      <c r="D96" s="456"/>
      <c r="E96" s="164">
        <f>E25+E61+E95</f>
        <v>12662</v>
      </c>
      <c r="F96" s="165">
        <f>F25+F61+F95</f>
        <v>3856.5200799999993</v>
      </c>
      <c r="G96" s="306">
        <f>H96/F96</f>
        <v>5.0397611724609517</v>
      </c>
      <c r="H96" s="166">
        <f>H25+H61+H95</f>
        <v>19435.940159999998</v>
      </c>
      <c r="I96" s="240">
        <f>J96/H96</f>
        <v>0.21917190345208387</v>
      </c>
      <c r="J96" s="241">
        <f>J25+J61+J95</f>
        <v>4259.8120002479991</v>
      </c>
      <c r="K96" s="167">
        <f>K25+K61+K95</f>
        <v>8805.4799200000016</v>
      </c>
      <c r="L96" s="307">
        <f>M96/K96</f>
        <v>5.0598550181010449</v>
      </c>
      <c r="M96" s="168">
        <f>M25+M61+M95</f>
        <v>44554.451759999996</v>
      </c>
      <c r="N96" s="382">
        <f>O96/M96</f>
        <v>1.6898655794210585E-2</v>
      </c>
      <c r="O96" s="242">
        <f>O25+O61+O95</f>
        <v>752.91034439199996</v>
      </c>
      <c r="P96" s="243">
        <f t="shared" ref="P96" si="107">O96+J96</f>
        <v>5012.7223446399994</v>
      </c>
      <c r="Q96" s="169" t="s">
        <v>17</v>
      </c>
      <c r="R96" s="299" t="s">
        <v>17</v>
      </c>
      <c r="S96" s="170">
        <f>S25+S61+S95</f>
        <v>68589.08818479121</v>
      </c>
      <c r="T96" s="385"/>
    </row>
    <row r="97" spans="1:19" x14ac:dyDescent="0.3">
      <c r="D97" s="105"/>
      <c r="E97" s="124"/>
      <c r="F97" s="124"/>
      <c r="G97" s="110"/>
      <c r="H97" s="110"/>
      <c r="I97" s="110"/>
      <c r="J97" s="110"/>
      <c r="K97" s="110"/>
      <c r="L97" s="110"/>
      <c r="M97" s="110"/>
      <c r="N97" s="110"/>
      <c r="O97" s="111"/>
      <c r="P97" s="112"/>
      <c r="Q97" s="129"/>
      <c r="R97" s="129"/>
      <c r="S97" s="129">
        <v>68496.81</v>
      </c>
    </row>
    <row r="98" spans="1:19" x14ac:dyDescent="0.3">
      <c r="F98" s="244"/>
      <c r="G98" s="324"/>
      <c r="H98" s="245"/>
      <c r="I98" s="246"/>
      <c r="J98" s="247"/>
      <c r="K98" s="171"/>
      <c r="O98" s="120"/>
      <c r="S98" s="130">
        <f>S96-S97</f>
        <v>92.27818479121197</v>
      </c>
    </row>
    <row r="99" spans="1:19" x14ac:dyDescent="0.3">
      <c r="A99" t="s">
        <v>141</v>
      </c>
      <c r="F99" s="125"/>
      <c r="G99" s="108"/>
      <c r="H99" s="76"/>
      <c r="I99" s="109"/>
      <c r="J99" s="127"/>
      <c r="K99"/>
      <c r="O99" s="120"/>
    </row>
    <row r="100" spans="1:19" x14ac:dyDescent="0.3">
      <c r="A100" s="133" t="s">
        <v>137</v>
      </c>
      <c r="F100" s="125"/>
      <c r="K100"/>
      <c r="O100" s="120"/>
    </row>
    <row r="101" spans="1:19" x14ac:dyDescent="0.3">
      <c r="A101" s="133" t="s">
        <v>168</v>
      </c>
      <c r="F101" s="125"/>
      <c r="K101"/>
      <c r="O101" s="120"/>
    </row>
    <row r="102" spans="1:19" x14ac:dyDescent="0.3">
      <c r="A102" s="133" t="s">
        <v>169</v>
      </c>
      <c r="F102" s="125"/>
      <c r="K102"/>
      <c r="O102" s="120"/>
    </row>
    <row r="103" spans="1:19" x14ac:dyDescent="0.3">
      <c r="A103" s="133" t="s">
        <v>138</v>
      </c>
      <c r="F103" s="125"/>
      <c r="K103"/>
      <c r="O103" s="120"/>
    </row>
    <row r="104" spans="1:19" x14ac:dyDescent="0.3">
      <c r="A104" s="133" t="s">
        <v>140</v>
      </c>
      <c r="F104" s="125"/>
      <c r="K104"/>
      <c r="O104" s="120"/>
    </row>
    <row r="105" spans="1:19" x14ac:dyDescent="0.3">
      <c r="A105" s="133" t="s">
        <v>209</v>
      </c>
      <c r="F105" s="125"/>
      <c r="K105"/>
      <c r="O105" s="120"/>
    </row>
    <row r="106" spans="1:19" x14ac:dyDescent="0.3">
      <c r="A106" s="133" t="s">
        <v>139</v>
      </c>
      <c r="F106" s="125"/>
      <c r="K106"/>
      <c r="O106" s="120"/>
    </row>
    <row r="107" spans="1:19" ht="28.8" x14ac:dyDescent="0.3">
      <c r="A107"/>
      <c r="B107"/>
      <c r="D107" s="386" t="s">
        <v>232</v>
      </c>
      <c r="F107" s="540" t="s">
        <v>233</v>
      </c>
      <c r="G107" s="114" t="s">
        <v>214</v>
      </c>
      <c r="K107"/>
      <c r="O107" s="120"/>
    </row>
    <row r="108" spans="1:19" x14ac:dyDescent="0.3">
      <c r="A108" s="332" t="s">
        <v>184</v>
      </c>
      <c r="B108" s="333"/>
      <c r="C108" s="334" t="s">
        <v>6</v>
      </c>
      <c r="D108" s="335">
        <f>F96+K96</f>
        <v>12662</v>
      </c>
      <c r="E108" s="539"/>
      <c r="F108" s="244">
        <v>12632</v>
      </c>
      <c r="G108" s="244">
        <f>D108-F108</f>
        <v>30</v>
      </c>
      <c r="I108" s="76"/>
      <c r="K108"/>
      <c r="O108" s="120"/>
    </row>
    <row r="109" spans="1:19" x14ac:dyDescent="0.3">
      <c r="A109" s="333"/>
      <c r="B109" s="333"/>
      <c r="C109" s="336" t="s">
        <v>185</v>
      </c>
      <c r="D109" s="397">
        <f>D110/D108</f>
        <v>5.0537349486652969</v>
      </c>
      <c r="E109" s="324"/>
      <c r="F109" s="324">
        <v>5.0531500886637106</v>
      </c>
      <c r="G109" s="324">
        <f t="shared" ref="G109:G122" si="108">D109-F109</f>
        <v>5.8486000158630702E-4</v>
      </c>
      <c r="K109"/>
      <c r="O109" s="120"/>
    </row>
    <row r="110" spans="1:19" x14ac:dyDescent="0.3">
      <c r="A110" s="333"/>
      <c r="B110" s="333"/>
      <c r="C110" s="336" t="s">
        <v>186</v>
      </c>
      <c r="D110" s="337">
        <f>H96+M96</f>
        <v>63990.391919999995</v>
      </c>
      <c r="E110" s="244"/>
      <c r="F110" s="244">
        <v>63831.391919999995</v>
      </c>
      <c r="G110" s="244">
        <f t="shared" si="108"/>
        <v>159</v>
      </c>
      <c r="K110"/>
      <c r="O110" s="120"/>
    </row>
    <row r="111" spans="1:19" x14ac:dyDescent="0.3">
      <c r="A111" s="333"/>
      <c r="B111" s="333"/>
      <c r="C111" s="336" t="s">
        <v>210</v>
      </c>
      <c r="D111" s="397">
        <f>D112/D110</f>
        <v>7.8335546856891328E-2</v>
      </c>
      <c r="E111" s="324"/>
      <c r="F111" s="324">
        <v>7.8410969807972811E-2</v>
      </c>
      <c r="G111" s="324">
        <f t="shared" si="108"/>
        <v>-7.5422951081483003E-5</v>
      </c>
      <c r="K111"/>
      <c r="O111" s="120"/>
    </row>
    <row r="112" spans="1:19" x14ac:dyDescent="0.3">
      <c r="A112" s="333"/>
      <c r="B112" s="333"/>
      <c r="C112" s="338" t="s">
        <v>187</v>
      </c>
      <c r="D112" s="398">
        <f>P96</f>
        <v>5012.7223446399994</v>
      </c>
      <c r="E112" s="324"/>
      <c r="F112" s="324">
        <v>5005.0813446399989</v>
      </c>
      <c r="G112" s="324">
        <f t="shared" si="108"/>
        <v>7.6410000000005311</v>
      </c>
      <c r="K112"/>
      <c r="O112" s="120"/>
    </row>
    <row r="113" spans="1:15" x14ac:dyDescent="0.3">
      <c r="A113"/>
      <c r="B113"/>
      <c r="C113"/>
      <c r="D113" s="538"/>
      <c r="E113" s="538"/>
      <c r="F113" s="538"/>
      <c r="G113" s="324"/>
      <c r="K113"/>
      <c r="O113" s="120"/>
    </row>
    <row r="114" spans="1:15" x14ac:dyDescent="0.3">
      <c r="A114"/>
      <c r="B114"/>
      <c r="C114" s="334" t="s">
        <v>188</v>
      </c>
      <c r="D114" s="399">
        <f>(H25+M25)/(F25+K25)</f>
        <v>8.1034482758620694</v>
      </c>
      <c r="E114" s="324"/>
      <c r="F114" s="324">
        <v>9.5789473684210531</v>
      </c>
      <c r="G114" s="324">
        <f>D114-F114</f>
        <v>-1.4754990925589837</v>
      </c>
      <c r="K114"/>
      <c r="O114" s="120"/>
    </row>
    <row r="115" spans="1:15" x14ac:dyDescent="0.3">
      <c r="A115"/>
      <c r="B115"/>
      <c r="C115" s="336" t="s">
        <v>189</v>
      </c>
      <c r="D115" s="337">
        <f>H25+M25</f>
        <v>235</v>
      </c>
      <c r="E115" s="244"/>
      <c r="F115" s="244">
        <v>182</v>
      </c>
      <c r="G115" s="244">
        <f t="shared" si="108"/>
        <v>53</v>
      </c>
      <c r="K115"/>
      <c r="O115" s="120"/>
    </row>
    <row r="116" spans="1:15" x14ac:dyDescent="0.3">
      <c r="A116"/>
      <c r="B116"/>
      <c r="C116" s="338" t="s">
        <v>211</v>
      </c>
      <c r="D116" s="398">
        <f>P25/(H25+M25)</f>
        <v>0.82355999999999985</v>
      </c>
      <c r="E116" s="324"/>
      <c r="F116" s="324">
        <v>1.0493934065934065</v>
      </c>
      <c r="G116" s="324">
        <f t="shared" si="108"/>
        <v>-0.22583340659340667</v>
      </c>
      <c r="K116"/>
      <c r="O116" s="120"/>
    </row>
    <row r="117" spans="1:15" x14ac:dyDescent="0.3">
      <c r="A117"/>
      <c r="B117"/>
      <c r="C117" s="334" t="s">
        <v>190</v>
      </c>
      <c r="D117" s="399">
        <f>(H61+M61)/(F61+K61)</f>
        <v>8.1785714285714288</v>
      </c>
      <c r="E117" s="400"/>
      <c r="F117" s="324">
        <v>9.7777777777777786</v>
      </c>
      <c r="G117" s="324">
        <f t="shared" si="108"/>
        <v>-1.5992063492063497</v>
      </c>
      <c r="K117"/>
      <c r="O117" s="120"/>
    </row>
    <row r="118" spans="1:15" x14ac:dyDescent="0.3">
      <c r="A118"/>
      <c r="B118"/>
      <c r="C118" s="336" t="s">
        <v>191</v>
      </c>
      <c r="D118" s="337">
        <f>H61+M61</f>
        <v>458</v>
      </c>
      <c r="E118" s="539"/>
      <c r="F118" s="244">
        <v>352</v>
      </c>
      <c r="G118" s="244">
        <f t="shared" si="108"/>
        <v>106</v>
      </c>
      <c r="K118"/>
      <c r="O118" s="120"/>
    </row>
    <row r="119" spans="1:15" x14ac:dyDescent="0.3">
      <c r="A119"/>
      <c r="B119"/>
      <c r="C119" s="338" t="s">
        <v>212</v>
      </c>
      <c r="D119" s="398">
        <f>P61/(H61+M61)</f>
        <v>0.48851353711790385</v>
      </c>
      <c r="E119" s="400"/>
      <c r="F119" s="324">
        <v>0.62115113636363628</v>
      </c>
      <c r="G119" s="324">
        <f t="shared" si="108"/>
        <v>-0.13263759924573243</v>
      </c>
      <c r="K119"/>
      <c r="O119" s="120"/>
    </row>
    <row r="120" spans="1:15" x14ac:dyDescent="0.3">
      <c r="A120"/>
      <c r="B120"/>
      <c r="C120" s="334" t="s">
        <v>192</v>
      </c>
      <c r="D120" s="399">
        <f>(H95+M95)/(F95+K95)</f>
        <v>5.0327893710741822</v>
      </c>
      <c r="E120" s="324"/>
      <c r="F120" s="324">
        <v>5.0327893710741822</v>
      </c>
      <c r="G120" s="324">
        <f t="shared" si="108"/>
        <v>0</v>
      </c>
      <c r="K120"/>
      <c r="O120" s="120"/>
    </row>
    <row r="121" spans="1:15" x14ac:dyDescent="0.3">
      <c r="A121"/>
      <c r="B121"/>
      <c r="C121" s="336" t="s">
        <v>193</v>
      </c>
      <c r="D121" s="337">
        <f>H95+M95</f>
        <v>63297.391919999995</v>
      </c>
      <c r="E121" s="244"/>
      <c r="F121" s="244">
        <v>63297.391919999995</v>
      </c>
      <c r="G121" s="244">
        <f t="shared" si="108"/>
        <v>0</v>
      </c>
      <c r="K121"/>
      <c r="O121" s="120"/>
    </row>
    <row r="122" spans="1:15" x14ac:dyDescent="0.3">
      <c r="A122"/>
      <c r="B122"/>
      <c r="C122" s="338" t="s">
        <v>213</v>
      </c>
      <c r="D122" s="398">
        <f>P95/(H95+M95)</f>
        <v>7.2600882994485305E-2</v>
      </c>
      <c r="E122" s="324"/>
      <c r="F122" s="324">
        <v>7.2600882994485305E-2</v>
      </c>
      <c r="G122" s="324">
        <f t="shared" si="108"/>
        <v>0</v>
      </c>
      <c r="K122"/>
      <c r="O122" s="120"/>
    </row>
    <row r="123" spans="1:15" x14ac:dyDescent="0.3">
      <c r="F123" s="125"/>
      <c r="K123"/>
      <c r="O123" s="120"/>
    </row>
    <row r="124" spans="1:15" x14ac:dyDescent="0.3">
      <c r="F124" s="125"/>
      <c r="K124"/>
      <c r="O124" s="120"/>
    </row>
    <row r="125" spans="1:15" x14ac:dyDescent="0.3">
      <c r="F125" s="125"/>
      <c r="K125"/>
      <c r="O125" s="120"/>
    </row>
    <row r="126" spans="1:15" x14ac:dyDescent="0.3">
      <c r="F126" s="125"/>
      <c r="K126"/>
      <c r="O126" s="120"/>
    </row>
    <row r="127" spans="1:15" x14ac:dyDescent="0.3">
      <c r="F127" s="125"/>
      <c r="K127"/>
      <c r="O127" s="120"/>
    </row>
    <row r="128" spans="1:15" x14ac:dyDescent="0.3">
      <c r="F128" s="125"/>
      <c r="K128"/>
      <c r="O128" s="120"/>
    </row>
    <row r="129" spans="6:15" x14ac:dyDescent="0.3">
      <c r="F129" s="125"/>
      <c r="K129"/>
      <c r="O129" s="120"/>
    </row>
    <row r="130" spans="6:15" x14ac:dyDescent="0.3">
      <c r="F130" s="125"/>
      <c r="K130"/>
      <c r="O130" s="120"/>
    </row>
    <row r="131" spans="6:15" x14ac:dyDescent="0.3">
      <c r="F131" s="125"/>
      <c r="K131"/>
      <c r="O131" s="120"/>
    </row>
    <row r="132" spans="6:15" x14ac:dyDescent="0.3">
      <c r="F132" s="125"/>
      <c r="K132"/>
      <c r="O132" s="120"/>
    </row>
    <row r="133" spans="6:15" x14ac:dyDescent="0.3">
      <c r="F133" s="125"/>
      <c r="K133"/>
      <c r="O133" s="120"/>
    </row>
    <row r="134" spans="6:15" x14ac:dyDescent="0.3">
      <c r="F134" s="125"/>
      <c r="K134"/>
      <c r="O134" s="120"/>
    </row>
    <row r="135" spans="6:15" x14ac:dyDescent="0.3">
      <c r="F135" s="125"/>
      <c r="K135"/>
      <c r="O135" s="120"/>
    </row>
    <row r="136" spans="6:15" x14ac:dyDescent="0.3">
      <c r="F136" s="125"/>
      <c r="K136"/>
      <c r="O136" s="120"/>
    </row>
    <row r="137" spans="6:15" x14ac:dyDescent="0.3">
      <c r="F137" s="125"/>
      <c r="K137"/>
      <c r="O137" s="120"/>
    </row>
    <row r="138" spans="6:15" x14ac:dyDescent="0.3">
      <c r="F138" s="125"/>
      <c r="K138"/>
      <c r="O138" s="120"/>
    </row>
    <row r="139" spans="6:15" x14ac:dyDescent="0.3">
      <c r="F139" s="125"/>
      <c r="K139"/>
      <c r="O139" s="120"/>
    </row>
    <row r="140" spans="6:15" x14ac:dyDescent="0.3">
      <c r="F140" s="125"/>
      <c r="K140"/>
      <c r="O140" s="120"/>
    </row>
    <row r="141" spans="6:15" x14ac:dyDescent="0.3">
      <c r="F141" s="125"/>
      <c r="K141"/>
      <c r="O141" s="120"/>
    </row>
    <row r="142" spans="6:15" x14ac:dyDescent="0.3">
      <c r="F142" s="125"/>
      <c r="K142"/>
      <c r="O142" s="120"/>
    </row>
    <row r="143" spans="6:15" x14ac:dyDescent="0.3">
      <c r="F143" s="125"/>
      <c r="K143"/>
      <c r="O143" s="120"/>
    </row>
    <row r="144" spans="6:15" x14ac:dyDescent="0.3">
      <c r="F144" s="125"/>
      <c r="K144"/>
      <c r="O144" s="120"/>
    </row>
    <row r="145" spans="6:15" x14ac:dyDescent="0.3">
      <c r="F145" s="125"/>
      <c r="K145"/>
      <c r="O145" s="120"/>
    </row>
    <row r="146" spans="6:15" x14ac:dyDescent="0.3">
      <c r="F146" s="125"/>
      <c r="K146"/>
      <c r="O146" s="120"/>
    </row>
    <row r="147" spans="6:15" x14ac:dyDescent="0.3">
      <c r="F147" s="125"/>
      <c r="K147"/>
      <c r="O147" s="120"/>
    </row>
    <row r="148" spans="6:15" x14ac:dyDescent="0.3">
      <c r="F148" s="125"/>
      <c r="K148"/>
      <c r="O148" s="120"/>
    </row>
    <row r="149" spans="6:15" x14ac:dyDescent="0.3">
      <c r="F149" s="125"/>
      <c r="K149"/>
      <c r="O149" s="120"/>
    </row>
    <row r="150" spans="6:15" x14ac:dyDescent="0.3">
      <c r="F150" s="125"/>
      <c r="K150"/>
      <c r="O150" s="120"/>
    </row>
    <row r="151" spans="6:15" x14ac:dyDescent="0.3">
      <c r="F151" s="125"/>
      <c r="K151"/>
      <c r="O151" s="120"/>
    </row>
    <row r="152" spans="6:15" x14ac:dyDescent="0.3">
      <c r="F152" s="125"/>
      <c r="K152"/>
      <c r="O152" s="120"/>
    </row>
    <row r="153" spans="6:15" x14ac:dyDescent="0.3">
      <c r="F153" s="125"/>
      <c r="K153"/>
      <c r="O153" s="120"/>
    </row>
    <row r="154" spans="6:15" x14ac:dyDescent="0.3">
      <c r="F154" s="125"/>
      <c r="K154"/>
      <c r="O154" s="120"/>
    </row>
    <row r="155" spans="6:15" x14ac:dyDescent="0.3">
      <c r="F155" s="125"/>
      <c r="K155"/>
      <c r="O155" s="120"/>
    </row>
  </sheetData>
  <autoFilter ref="B3:AZ96" xr:uid="{AC7FA516-35C0-46C8-A4E8-8FE246671BED}"/>
  <mergeCells count="56">
    <mergeCell ref="C90:C91"/>
    <mergeCell ref="B83:D83"/>
    <mergeCell ref="B79:D79"/>
    <mergeCell ref="B65:D65"/>
    <mergeCell ref="B60:D60"/>
    <mergeCell ref="B63:B64"/>
    <mergeCell ref="B66:B78"/>
    <mergeCell ref="B80:B82"/>
    <mergeCell ref="C80:C81"/>
    <mergeCell ref="C66:C74"/>
    <mergeCell ref="A62:S62"/>
    <mergeCell ref="A61:D61"/>
    <mergeCell ref="B2:B3"/>
    <mergeCell ref="A4:S4"/>
    <mergeCell ref="A25:D25"/>
    <mergeCell ref="B5:B7"/>
    <mergeCell ref="A2:A3"/>
    <mergeCell ref="C2:C3"/>
    <mergeCell ref="S2:S3"/>
    <mergeCell ref="D2:D3"/>
    <mergeCell ref="E2:E3"/>
    <mergeCell ref="R2:R3"/>
    <mergeCell ref="F2:J2"/>
    <mergeCell ref="K2:O2"/>
    <mergeCell ref="P2:P3"/>
    <mergeCell ref="C11:C14"/>
    <mergeCell ref="C20:C22"/>
    <mergeCell ref="Q2:Q3"/>
    <mergeCell ref="A96:D96"/>
    <mergeCell ref="B24:D24"/>
    <mergeCell ref="B8:D8"/>
    <mergeCell ref="A95:D95"/>
    <mergeCell ref="A27:S27"/>
    <mergeCell ref="A26:S26"/>
    <mergeCell ref="A63:A94"/>
    <mergeCell ref="A5:A24"/>
    <mergeCell ref="B94:D94"/>
    <mergeCell ref="C47:C50"/>
    <mergeCell ref="C51:C52"/>
    <mergeCell ref="C75:C76"/>
    <mergeCell ref="C39:C41"/>
    <mergeCell ref="B43:D43"/>
    <mergeCell ref="A28:A43"/>
    <mergeCell ref="C9:C10"/>
    <mergeCell ref="C15:C17"/>
    <mergeCell ref="C18:C19"/>
    <mergeCell ref="B28:B42"/>
    <mergeCell ref="A45:A60"/>
    <mergeCell ref="B45:B59"/>
    <mergeCell ref="C45:C46"/>
    <mergeCell ref="A44:S44"/>
    <mergeCell ref="B9:B23"/>
    <mergeCell ref="C28:C29"/>
    <mergeCell ref="C56:C58"/>
    <mergeCell ref="C30:C33"/>
    <mergeCell ref="C34:C35"/>
  </mergeCells>
  <pageMargins left="0.25" right="0.25" top="0.75" bottom="0.75" header="0.3" footer="0.3"/>
  <pageSetup paperSize="5" scale="74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2"/>
  <sheetViews>
    <sheetView zoomScale="90" zoomScaleNormal="90" workbookViewId="0">
      <pane ySplit="2" topLeftCell="A39" activePane="bottomLeft" state="frozen"/>
      <selection pane="bottomLeft" activeCell="D52" sqref="D52"/>
    </sheetView>
  </sheetViews>
  <sheetFormatPr defaultColWidth="9.21875" defaultRowHeight="14.4" x14ac:dyDescent="0.3"/>
  <cols>
    <col min="1" max="1" width="13.21875" customWidth="1"/>
    <col min="2" max="2" width="18.77734375" customWidth="1"/>
    <col min="3" max="3" width="20.21875" customWidth="1"/>
    <col min="4" max="4" width="4" bestFit="1" customWidth="1"/>
    <col min="5" max="5" width="12.77734375" customWidth="1"/>
    <col min="6" max="6" width="12.44140625" customWidth="1"/>
    <col min="7" max="7" width="16.77734375" customWidth="1"/>
    <col min="8" max="8" width="10.77734375" customWidth="1"/>
    <col min="9" max="9" width="14.21875" customWidth="1"/>
    <col min="11" max="11" width="10.21875" customWidth="1"/>
    <col min="12" max="12" width="11.44140625" customWidth="1"/>
    <col min="13" max="13" width="10.77734375" customWidth="1"/>
    <col min="14" max="14" width="13.21875" customWidth="1"/>
    <col min="15" max="15" width="11.44140625" customWidth="1"/>
    <col min="16" max="16" width="10.77734375" customWidth="1"/>
    <col min="17" max="17" width="10.44140625" customWidth="1"/>
    <col min="18" max="18" width="12.21875" bestFit="1" customWidth="1"/>
  </cols>
  <sheetData>
    <row r="1" spans="1:20" x14ac:dyDescent="0.3">
      <c r="A1" s="6"/>
      <c r="B1" s="7"/>
      <c r="C1" s="7"/>
      <c r="D1" s="15"/>
      <c r="E1" s="18"/>
      <c r="F1" s="521" t="s">
        <v>2</v>
      </c>
      <c r="G1" s="522"/>
      <c r="H1" s="522"/>
      <c r="I1" s="522"/>
      <c r="J1" s="523"/>
      <c r="K1" s="524" t="s">
        <v>3</v>
      </c>
      <c r="L1" s="522"/>
      <c r="M1" s="522"/>
      <c r="N1" s="522"/>
      <c r="O1" s="525"/>
      <c r="P1" s="27"/>
      <c r="Q1" s="30"/>
      <c r="R1" s="8"/>
    </row>
    <row r="2" spans="1:20" ht="41.25" customHeight="1" thickBot="1" x14ac:dyDescent="0.35">
      <c r="A2" s="10" t="s">
        <v>12</v>
      </c>
      <c r="B2" s="11" t="s">
        <v>4</v>
      </c>
      <c r="C2" s="11" t="s">
        <v>49</v>
      </c>
      <c r="D2" s="16" t="s">
        <v>1</v>
      </c>
      <c r="E2" s="19" t="s">
        <v>5</v>
      </c>
      <c r="F2" s="79" t="s">
        <v>6</v>
      </c>
      <c r="G2" s="80" t="s">
        <v>7</v>
      </c>
      <c r="H2" s="80" t="s">
        <v>8</v>
      </c>
      <c r="I2" s="80" t="s">
        <v>9</v>
      </c>
      <c r="J2" s="81" t="s">
        <v>10</v>
      </c>
      <c r="K2" s="13" t="s">
        <v>11</v>
      </c>
      <c r="L2" s="11" t="s">
        <v>7</v>
      </c>
      <c r="M2" s="11" t="s">
        <v>8</v>
      </c>
      <c r="N2" s="11" t="s">
        <v>9</v>
      </c>
      <c r="O2" s="24" t="s">
        <v>10</v>
      </c>
      <c r="P2" s="28" t="s">
        <v>13</v>
      </c>
      <c r="Q2" s="26" t="s">
        <v>14</v>
      </c>
      <c r="R2" s="12" t="s">
        <v>15</v>
      </c>
      <c r="S2" s="84"/>
      <c r="T2" s="84"/>
    </row>
    <row r="3" spans="1:20" ht="38.25" customHeight="1" thickBot="1" x14ac:dyDescent="0.4">
      <c r="A3" s="529" t="s">
        <v>39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1"/>
    </row>
    <row r="4" spans="1:20" ht="50.25" customHeight="1" thickBot="1" x14ac:dyDescent="0.35">
      <c r="A4" s="526" t="s">
        <v>16</v>
      </c>
      <c r="B4" s="65" t="s">
        <v>52</v>
      </c>
      <c r="C4" s="53" t="s">
        <v>69</v>
      </c>
      <c r="D4" s="33"/>
      <c r="E4" s="20">
        <v>2</v>
      </c>
      <c r="F4" s="22">
        <v>2</v>
      </c>
      <c r="G4" s="2">
        <v>1</v>
      </c>
      <c r="H4" s="89">
        <f>F4*G4</f>
        <v>2</v>
      </c>
      <c r="I4" s="3">
        <f>60/60</f>
        <v>1</v>
      </c>
      <c r="J4" s="66">
        <f>H4*I4</f>
        <v>2</v>
      </c>
      <c r="K4" s="14">
        <f>+E4-F4</f>
        <v>0</v>
      </c>
      <c r="L4" s="2">
        <v>0</v>
      </c>
      <c r="M4" s="5">
        <f>K4*L4</f>
        <v>0</v>
      </c>
      <c r="N4" s="4">
        <f>0</f>
        <v>0</v>
      </c>
      <c r="O4" s="67">
        <f>M4*N4</f>
        <v>0</v>
      </c>
      <c r="P4" s="68">
        <f>J4+O4</f>
        <v>2</v>
      </c>
      <c r="Q4" s="69">
        <v>56.74</v>
      </c>
      <c r="R4" s="32">
        <f>+P4*Q4</f>
        <v>113.48</v>
      </c>
    </row>
    <row r="5" spans="1:20" ht="43.5" customHeight="1" thickBot="1" x14ac:dyDescent="0.35">
      <c r="A5" s="526"/>
      <c r="B5" s="65" t="s">
        <v>52</v>
      </c>
      <c r="C5" s="53" t="s">
        <v>50</v>
      </c>
      <c r="D5" s="17"/>
      <c r="E5" s="21">
        <v>6</v>
      </c>
      <c r="F5" s="9">
        <v>6</v>
      </c>
      <c r="G5" s="2">
        <v>1</v>
      </c>
      <c r="H5" s="90">
        <f>+F5*G5</f>
        <v>6</v>
      </c>
      <c r="I5" s="3">
        <f>3/60</f>
        <v>0.05</v>
      </c>
      <c r="J5" s="94">
        <f t="shared" ref="J5:J30" si="0">+H5*I5</f>
        <v>0.30000000000000004</v>
      </c>
      <c r="K5" s="14">
        <f t="shared" ref="K5:K26" si="1">+E5-F5</f>
        <v>0</v>
      </c>
      <c r="L5" s="2">
        <v>0</v>
      </c>
      <c r="M5" s="1">
        <f t="shared" ref="M5:M30" si="2">+K5*L5</f>
        <v>0</v>
      </c>
      <c r="N5" s="4">
        <f>0</f>
        <v>0</v>
      </c>
      <c r="O5" s="25">
        <f>M5*N5</f>
        <v>0</v>
      </c>
      <c r="P5" s="29">
        <f t="shared" ref="P5:P31" si="3">+O5+J5</f>
        <v>0.30000000000000004</v>
      </c>
      <c r="Q5" s="69">
        <v>56.74</v>
      </c>
      <c r="R5" s="32">
        <f>Q5*P5</f>
        <v>17.022000000000002</v>
      </c>
    </row>
    <row r="6" spans="1:20" ht="43.5" customHeight="1" thickBot="1" x14ac:dyDescent="0.35">
      <c r="A6" s="526"/>
      <c r="B6" s="65" t="s">
        <v>52</v>
      </c>
      <c r="C6" s="53" t="s">
        <v>51</v>
      </c>
      <c r="D6" s="17"/>
      <c r="E6" s="21">
        <v>6</v>
      </c>
      <c r="F6" s="9">
        <v>6</v>
      </c>
      <c r="G6" s="2">
        <v>1</v>
      </c>
      <c r="H6" s="90">
        <f t="shared" ref="H6:H22" si="4">+F6*G6</f>
        <v>6</v>
      </c>
      <c r="I6" s="4">
        <f>5/60</f>
        <v>8.3333333333333329E-2</v>
      </c>
      <c r="J6" s="94">
        <f t="shared" si="0"/>
        <v>0.5</v>
      </c>
      <c r="K6" s="14">
        <f t="shared" si="1"/>
        <v>0</v>
      </c>
      <c r="L6" s="2">
        <v>0</v>
      </c>
      <c r="M6" s="1">
        <f t="shared" si="2"/>
        <v>0</v>
      </c>
      <c r="N6" s="4">
        <f>0</f>
        <v>0</v>
      </c>
      <c r="O6" s="25">
        <f t="shared" ref="O6:O18" si="5">M6*N6</f>
        <v>0</v>
      </c>
      <c r="P6" s="29">
        <f t="shared" si="3"/>
        <v>0.5</v>
      </c>
      <c r="Q6" s="69">
        <v>56.74</v>
      </c>
      <c r="R6" s="32">
        <f t="shared" ref="R6:R25" si="6">Q6*P6</f>
        <v>28.37</v>
      </c>
    </row>
    <row r="7" spans="1:20" ht="36.75" customHeight="1" thickBot="1" x14ac:dyDescent="0.35">
      <c r="A7" s="526"/>
      <c r="B7" s="65" t="s">
        <v>52</v>
      </c>
      <c r="C7" s="53" t="s">
        <v>27</v>
      </c>
      <c r="D7" s="17"/>
      <c r="E7" s="21">
        <v>6</v>
      </c>
      <c r="F7" s="9">
        <v>6</v>
      </c>
      <c r="G7" s="2">
        <v>1</v>
      </c>
      <c r="H7" s="90">
        <f t="shared" si="4"/>
        <v>6</v>
      </c>
      <c r="I7" s="3">
        <f>3/60</f>
        <v>0.05</v>
      </c>
      <c r="J7" s="94">
        <f t="shared" si="0"/>
        <v>0.30000000000000004</v>
      </c>
      <c r="K7" s="14">
        <f t="shared" si="1"/>
        <v>0</v>
      </c>
      <c r="L7" s="2">
        <v>0</v>
      </c>
      <c r="M7" s="1">
        <f t="shared" si="2"/>
        <v>0</v>
      </c>
      <c r="N7" s="4">
        <f>0</f>
        <v>0</v>
      </c>
      <c r="O7" s="25">
        <f t="shared" si="5"/>
        <v>0</v>
      </c>
      <c r="P7" s="29">
        <f t="shared" si="3"/>
        <v>0.30000000000000004</v>
      </c>
      <c r="Q7" s="69">
        <v>56.74</v>
      </c>
      <c r="R7" s="70">
        <f t="shared" si="6"/>
        <v>17.022000000000002</v>
      </c>
    </row>
    <row r="8" spans="1:20" ht="46.5" customHeight="1" thickBot="1" x14ac:dyDescent="0.35">
      <c r="A8" s="526"/>
      <c r="B8" s="65" t="s">
        <v>52</v>
      </c>
      <c r="C8" s="53" t="s">
        <v>28</v>
      </c>
      <c r="D8" s="17"/>
      <c r="E8" s="21">
        <v>6</v>
      </c>
      <c r="F8" s="9">
        <v>6</v>
      </c>
      <c r="G8" s="2">
        <v>1</v>
      </c>
      <c r="H8" s="90">
        <f t="shared" si="4"/>
        <v>6</v>
      </c>
      <c r="I8" s="3">
        <f>30/60</f>
        <v>0.5</v>
      </c>
      <c r="J8" s="94">
        <f t="shared" si="0"/>
        <v>3</v>
      </c>
      <c r="K8" s="14">
        <f t="shared" si="1"/>
        <v>0</v>
      </c>
      <c r="L8" s="2">
        <v>0</v>
      </c>
      <c r="M8" s="1">
        <f t="shared" si="2"/>
        <v>0</v>
      </c>
      <c r="N8" s="4">
        <f>0</f>
        <v>0</v>
      </c>
      <c r="O8" s="25">
        <f t="shared" si="5"/>
        <v>0</v>
      </c>
      <c r="P8" s="29">
        <f t="shared" si="3"/>
        <v>3</v>
      </c>
      <c r="Q8" s="69">
        <v>56.74</v>
      </c>
      <c r="R8" s="70">
        <f t="shared" si="6"/>
        <v>170.22</v>
      </c>
    </row>
    <row r="9" spans="1:20" ht="56.25" customHeight="1" thickBot="1" x14ac:dyDescent="0.35">
      <c r="A9" s="526"/>
      <c r="B9" s="65" t="s">
        <v>52</v>
      </c>
      <c r="C9" s="53" t="s">
        <v>73</v>
      </c>
      <c r="D9" s="17"/>
      <c r="E9" s="21">
        <v>6</v>
      </c>
      <c r="F9" s="9">
        <v>6</v>
      </c>
      <c r="G9" s="2">
        <v>1</v>
      </c>
      <c r="H9" s="90">
        <f t="shared" si="4"/>
        <v>6</v>
      </c>
      <c r="I9" s="3">
        <f>3/60</f>
        <v>0.05</v>
      </c>
      <c r="J9" s="94">
        <f t="shared" si="0"/>
        <v>0.30000000000000004</v>
      </c>
      <c r="K9" s="14">
        <f t="shared" si="1"/>
        <v>0</v>
      </c>
      <c r="L9" s="2">
        <v>0</v>
      </c>
      <c r="M9" s="1">
        <f t="shared" si="2"/>
        <v>0</v>
      </c>
      <c r="N9" s="4">
        <f>0</f>
        <v>0</v>
      </c>
      <c r="O9" s="25">
        <f t="shared" si="5"/>
        <v>0</v>
      </c>
      <c r="P9" s="29">
        <f t="shared" si="3"/>
        <v>0.30000000000000004</v>
      </c>
      <c r="Q9" s="69">
        <v>56.74</v>
      </c>
      <c r="R9" s="70">
        <f t="shared" si="6"/>
        <v>17.022000000000002</v>
      </c>
    </row>
    <row r="10" spans="1:20" ht="45" customHeight="1" thickBot="1" x14ac:dyDescent="0.35">
      <c r="A10" s="526"/>
      <c r="B10" s="65" t="s">
        <v>52</v>
      </c>
      <c r="C10" s="53" t="s">
        <v>74</v>
      </c>
      <c r="D10" s="17"/>
      <c r="E10" s="21">
        <v>12</v>
      </c>
      <c r="F10" s="9">
        <v>12</v>
      </c>
      <c r="G10" s="2">
        <v>1</v>
      </c>
      <c r="H10" s="90">
        <f t="shared" si="4"/>
        <v>12</v>
      </c>
      <c r="I10" s="3">
        <f>60/60</f>
        <v>1</v>
      </c>
      <c r="J10" s="94">
        <f t="shared" si="0"/>
        <v>12</v>
      </c>
      <c r="K10" s="14">
        <f t="shared" si="1"/>
        <v>0</v>
      </c>
      <c r="L10" s="2">
        <v>0</v>
      </c>
      <c r="M10" s="1">
        <f t="shared" si="2"/>
        <v>0</v>
      </c>
      <c r="N10" s="4">
        <f>0</f>
        <v>0</v>
      </c>
      <c r="O10" s="25">
        <f t="shared" si="5"/>
        <v>0</v>
      </c>
      <c r="P10" s="29">
        <f t="shared" si="3"/>
        <v>12</v>
      </c>
      <c r="Q10" s="69">
        <v>56.74</v>
      </c>
      <c r="R10" s="70">
        <f t="shared" si="6"/>
        <v>680.88</v>
      </c>
    </row>
    <row r="11" spans="1:20" ht="28.5" customHeight="1" thickBot="1" x14ac:dyDescent="0.35">
      <c r="A11" s="526"/>
      <c r="B11" s="65" t="s">
        <v>52</v>
      </c>
      <c r="C11" s="53" t="s">
        <v>29</v>
      </c>
      <c r="D11" s="17"/>
      <c r="E11" s="21">
        <v>12</v>
      </c>
      <c r="F11" s="9">
        <v>12</v>
      </c>
      <c r="G11" s="2">
        <v>1</v>
      </c>
      <c r="H11" s="90">
        <f t="shared" si="4"/>
        <v>12</v>
      </c>
      <c r="I11" s="4">
        <f>2/60</f>
        <v>3.3333333333333333E-2</v>
      </c>
      <c r="J11" s="94">
        <f t="shared" si="0"/>
        <v>0.4</v>
      </c>
      <c r="K11" s="14">
        <f t="shared" si="1"/>
        <v>0</v>
      </c>
      <c r="L11" s="2">
        <v>0</v>
      </c>
      <c r="M11" s="1">
        <f t="shared" si="2"/>
        <v>0</v>
      </c>
      <c r="N11" s="4">
        <v>0</v>
      </c>
      <c r="O11" s="25">
        <f t="shared" si="5"/>
        <v>0</v>
      </c>
      <c r="P11" s="29">
        <f t="shared" si="3"/>
        <v>0.4</v>
      </c>
      <c r="Q11" s="69">
        <v>56.74</v>
      </c>
      <c r="R11" s="70">
        <f t="shared" si="6"/>
        <v>22.696000000000002</v>
      </c>
    </row>
    <row r="12" spans="1:20" ht="28.5" customHeight="1" thickBot="1" x14ac:dyDescent="0.35">
      <c r="A12" s="526"/>
      <c r="B12" s="52" t="s">
        <v>64</v>
      </c>
      <c r="C12" s="65" t="s">
        <v>57</v>
      </c>
      <c r="D12" s="17"/>
      <c r="E12" s="21">
        <v>1</v>
      </c>
      <c r="F12" s="9">
        <v>1</v>
      </c>
      <c r="G12" s="2">
        <v>1</v>
      </c>
      <c r="H12" s="90">
        <f t="shared" si="4"/>
        <v>1</v>
      </c>
      <c r="I12" s="3">
        <f>60/60</f>
        <v>1</v>
      </c>
      <c r="J12" s="94">
        <f t="shared" si="0"/>
        <v>1</v>
      </c>
      <c r="K12" s="14">
        <f t="shared" si="1"/>
        <v>0</v>
      </c>
      <c r="L12" s="2">
        <v>0</v>
      </c>
      <c r="M12" s="1">
        <f t="shared" si="2"/>
        <v>0</v>
      </c>
      <c r="N12" s="4">
        <v>0</v>
      </c>
      <c r="O12" s="25">
        <f t="shared" si="5"/>
        <v>0</v>
      </c>
      <c r="P12" s="29">
        <f t="shared" si="3"/>
        <v>1</v>
      </c>
      <c r="Q12" s="31">
        <v>41.89</v>
      </c>
      <c r="R12" s="70">
        <f t="shared" si="6"/>
        <v>41.89</v>
      </c>
    </row>
    <row r="13" spans="1:20" ht="54" customHeight="1" thickBot="1" x14ac:dyDescent="0.35">
      <c r="A13" s="526"/>
      <c r="B13" s="52" t="s">
        <v>65</v>
      </c>
      <c r="C13" s="65" t="s">
        <v>30</v>
      </c>
      <c r="D13" s="17"/>
      <c r="E13" s="21">
        <v>6</v>
      </c>
      <c r="F13" s="9">
        <v>6</v>
      </c>
      <c r="G13" s="2">
        <v>1</v>
      </c>
      <c r="H13" s="90">
        <f t="shared" si="4"/>
        <v>6</v>
      </c>
      <c r="I13" s="3">
        <f>60/60</f>
        <v>1</v>
      </c>
      <c r="J13" s="94">
        <f t="shared" si="0"/>
        <v>6</v>
      </c>
      <c r="K13" s="14">
        <f t="shared" si="1"/>
        <v>0</v>
      </c>
      <c r="L13" s="2">
        <v>0</v>
      </c>
      <c r="M13" s="1">
        <f t="shared" si="2"/>
        <v>0</v>
      </c>
      <c r="N13" s="4">
        <v>0</v>
      </c>
      <c r="O13" s="25">
        <f t="shared" si="5"/>
        <v>0</v>
      </c>
      <c r="P13" s="29">
        <f t="shared" si="3"/>
        <v>6</v>
      </c>
      <c r="Q13" s="31">
        <v>41.89</v>
      </c>
      <c r="R13" s="70">
        <f t="shared" si="6"/>
        <v>251.34</v>
      </c>
    </row>
    <row r="14" spans="1:20" ht="45.75" customHeight="1" thickBot="1" x14ac:dyDescent="0.35">
      <c r="A14" s="526"/>
      <c r="B14" s="52" t="s">
        <v>64</v>
      </c>
      <c r="C14" s="55" t="s">
        <v>31</v>
      </c>
      <c r="D14" s="17"/>
      <c r="E14" s="21">
        <v>6</v>
      </c>
      <c r="F14" s="9">
        <v>6</v>
      </c>
      <c r="G14" s="2">
        <v>1</v>
      </c>
      <c r="H14" s="90">
        <f t="shared" si="4"/>
        <v>6</v>
      </c>
      <c r="I14" s="3">
        <f>60/60</f>
        <v>1</v>
      </c>
      <c r="J14" s="94">
        <f t="shared" si="0"/>
        <v>6</v>
      </c>
      <c r="K14" s="14">
        <f t="shared" si="1"/>
        <v>0</v>
      </c>
      <c r="L14" s="2">
        <v>0</v>
      </c>
      <c r="M14" s="1">
        <f t="shared" si="2"/>
        <v>0</v>
      </c>
      <c r="N14" s="4">
        <v>0</v>
      </c>
      <c r="O14" s="25">
        <f t="shared" si="5"/>
        <v>0</v>
      </c>
      <c r="P14" s="29">
        <f t="shared" si="3"/>
        <v>6</v>
      </c>
      <c r="Q14" s="31">
        <v>41.89</v>
      </c>
      <c r="R14" s="70">
        <f t="shared" si="6"/>
        <v>251.34</v>
      </c>
    </row>
    <row r="15" spans="1:20" ht="42.75" customHeight="1" thickBot="1" x14ac:dyDescent="0.35">
      <c r="A15" s="526"/>
      <c r="B15" s="52" t="s">
        <v>64</v>
      </c>
      <c r="C15" s="53" t="s">
        <v>32</v>
      </c>
      <c r="D15" s="17"/>
      <c r="E15" s="21">
        <v>6</v>
      </c>
      <c r="F15" s="9">
        <v>6</v>
      </c>
      <c r="G15" s="2">
        <v>1</v>
      </c>
      <c r="H15" s="90">
        <f t="shared" si="4"/>
        <v>6</v>
      </c>
      <c r="I15" s="3">
        <f>240/60</f>
        <v>4</v>
      </c>
      <c r="J15" s="94">
        <f t="shared" si="0"/>
        <v>24</v>
      </c>
      <c r="K15" s="14">
        <f t="shared" si="1"/>
        <v>0</v>
      </c>
      <c r="L15" s="2">
        <v>0</v>
      </c>
      <c r="M15" s="1">
        <f t="shared" si="2"/>
        <v>0</v>
      </c>
      <c r="N15" s="4">
        <v>0</v>
      </c>
      <c r="O15" s="25">
        <f t="shared" si="5"/>
        <v>0</v>
      </c>
      <c r="P15" s="72">
        <f t="shared" si="3"/>
        <v>24</v>
      </c>
      <c r="Q15" s="31">
        <v>41.89</v>
      </c>
      <c r="R15" s="70">
        <f t="shared" si="6"/>
        <v>1005.36</v>
      </c>
    </row>
    <row r="16" spans="1:20" ht="45" customHeight="1" thickBot="1" x14ac:dyDescent="0.35">
      <c r="A16" s="526"/>
      <c r="B16" s="52" t="s">
        <v>64</v>
      </c>
      <c r="C16" s="54" t="s">
        <v>33</v>
      </c>
      <c r="D16" s="17"/>
      <c r="E16" s="21">
        <v>6</v>
      </c>
      <c r="F16" s="9">
        <v>6</v>
      </c>
      <c r="G16" s="2">
        <v>1</v>
      </c>
      <c r="H16" s="90">
        <f t="shared" si="4"/>
        <v>6</v>
      </c>
      <c r="I16" s="3">
        <f>60/60</f>
        <v>1</v>
      </c>
      <c r="J16" s="94">
        <f t="shared" si="0"/>
        <v>6</v>
      </c>
      <c r="K16" s="14">
        <f t="shared" si="1"/>
        <v>0</v>
      </c>
      <c r="L16" s="2">
        <v>0</v>
      </c>
      <c r="M16" s="1">
        <f t="shared" si="2"/>
        <v>0</v>
      </c>
      <c r="N16" s="4">
        <v>0</v>
      </c>
      <c r="O16" s="25">
        <f t="shared" si="5"/>
        <v>0</v>
      </c>
      <c r="P16" s="29">
        <f t="shared" si="3"/>
        <v>6</v>
      </c>
      <c r="Q16" s="31">
        <v>41.89</v>
      </c>
      <c r="R16" s="70">
        <f t="shared" si="6"/>
        <v>251.34</v>
      </c>
    </row>
    <row r="17" spans="1:18" ht="43.5" customHeight="1" thickBot="1" x14ac:dyDescent="0.35">
      <c r="A17" s="526"/>
      <c r="B17" s="52" t="s">
        <v>64</v>
      </c>
      <c r="C17" s="65" t="s">
        <v>34</v>
      </c>
      <c r="D17" s="17"/>
      <c r="E17" s="21">
        <v>6</v>
      </c>
      <c r="F17" s="9">
        <v>6</v>
      </c>
      <c r="G17" s="2">
        <v>1</v>
      </c>
      <c r="H17" s="90">
        <f t="shared" si="4"/>
        <v>6</v>
      </c>
      <c r="I17" s="3">
        <f>240/60</f>
        <v>4</v>
      </c>
      <c r="J17" s="94">
        <f t="shared" si="0"/>
        <v>24</v>
      </c>
      <c r="K17" s="14">
        <f t="shared" si="1"/>
        <v>0</v>
      </c>
      <c r="L17" s="2">
        <v>0</v>
      </c>
      <c r="M17" s="1">
        <f t="shared" si="2"/>
        <v>0</v>
      </c>
      <c r="N17" s="4">
        <v>0</v>
      </c>
      <c r="O17" s="25">
        <f t="shared" si="5"/>
        <v>0</v>
      </c>
      <c r="P17" s="29">
        <f t="shared" si="3"/>
        <v>24</v>
      </c>
      <c r="Q17" s="31">
        <v>41.89</v>
      </c>
      <c r="R17" s="70">
        <f t="shared" si="6"/>
        <v>1005.36</v>
      </c>
    </row>
    <row r="18" spans="1:18" ht="52.5" customHeight="1" thickBot="1" x14ac:dyDescent="0.35">
      <c r="A18" s="526"/>
      <c r="B18" s="52" t="s">
        <v>64</v>
      </c>
      <c r="C18" s="53" t="s">
        <v>35</v>
      </c>
      <c r="D18" s="17"/>
      <c r="E18" s="21">
        <v>4</v>
      </c>
      <c r="F18" s="9">
        <v>4</v>
      </c>
      <c r="G18" s="2">
        <v>1</v>
      </c>
      <c r="H18" s="90">
        <f t="shared" si="4"/>
        <v>4</v>
      </c>
      <c r="I18" s="3">
        <f>60/60</f>
        <v>1</v>
      </c>
      <c r="J18" s="94">
        <f t="shared" si="0"/>
        <v>4</v>
      </c>
      <c r="K18" s="14">
        <f t="shared" si="1"/>
        <v>0</v>
      </c>
      <c r="L18" s="2">
        <v>0</v>
      </c>
      <c r="M18" s="1">
        <f t="shared" si="2"/>
        <v>0</v>
      </c>
      <c r="N18" s="4">
        <v>0</v>
      </c>
      <c r="O18" s="25">
        <f t="shared" si="5"/>
        <v>0</v>
      </c>
      <c r="P18" s="29">
        <f t="shared" si="3"/>
        <v>4</v>
      </c>
      <c r="Q18" s="31">
        <v>41.89</v>
      </c>
      <c r="R18" s="70">
        <f t="shared" si="6"/>
        <v>167.56</v>
      </c>
    </row>
    <row r="19" spans="1:18" ht="69.75" customHeight="1" thickBot="1" x14ac:dyDescent="0.35">
      <c r="A19" s="526"/>
      <c r="B19" s="56" t="s">
        <v>40</v>
      </c>
      <c r="C19" s="53" t="s">
        <v>77</v>
      </c>
      <c r="D19" s="17"/>
      <c r="E19" s="21">
        <v>6</v>
      </c>
      <c r="F19" s="9">
        <v>6</v>
      </c>
      <c r="G19" s="2">
        <v>1</v>
      </c>
      <c r="H19" s="90">
        <f t="shared" si="4"/>
        <v>6</v>
      </c>
      <c r="I19" s="3">
        <f>3/60</f>
        <v>0.05</v>
      </c>
      <c r="J19" s="94">
        <f t="shared" si="0"/>
        <v>0.30000000000000004</v>
      </c>
      <c r="K19" s="14">
        <f t="shared" si="1"/>
        <v>0</v>
      </c>
      <c r="L19" s="2">
        <v>0</v>
      </c>
      <c r="M19" s="1">
        <f t="shared" si="2"/>
        <v>0</v>
      </c>
      <c r="N19" s="4">
        <v>0</v>
      </c>
      <c r="O19" s="25">
        <f t="shared" ref="O19:O30" si="7">M19*N19</f>
        <v>0</v>
      </c>
      <c r="P19" s="29">
        <f t="shared" ref="P19:P25" si="8">+O19+J19</f>
        <v>0.30000000000000004</v>
      </c>
      <c r="Q19" s="31">
        <v>34.07</v>
      </c>
      <c r="R19" s="70">
        <f t="shared" si="6"/>
        <v>10.221000000000002</v>
      </c>
    </row>
    <row r="20" spans="1:18" ht="52.5" customHeight="1" thickBot="1" x14ac:dyDescent="0.35">
      <c r="A20" s="526"/>
      <c r="B20" s="56" t="s">
        <v>40</v>
      </c>
      <c r="C20" s="53" t="s">
        <v>75</v>
      </c>
      <c r="D20" s="17"/>
      <c r="E20" s="21">
        <v>18</v>
      </c>
      <c r="F20" s="9">
        <v>18</v>
      </c>
      <c r="G20" s="2">
        <v>1</v>
      </c>
      <c r="H20" s="90">
        <f t="shared" si="4"/>
        <v>18</v>
      </c>
      <c r="I20" s="3">
        <f>60/60</f>
        <v>1</v>
      </c>
      <c r="J20" s="94">
        <f t="shared" si="0"/>
        <v>18</v>
      </c>
      <c r="K20" s="14">
        <f t="shared" si="1"/>
        <v>0</v>
      </c>
      <c r="L20" s="2">
        <v>0</v>
      </c>
      <c r="M20" s="1">
        <f t="shared" si="2"/>
        <v>0</v>
      </c>
      <c r="N20" s="4">
        <v>0</v>
      </c>
      <c r="O20" s="25">
        <f t="shared" si="7"/>
        <v>0</v>
      </c>
      <c r="P20" s="29">
        <f t="shared" si="8"/>
        <v>18</v>
      </c>
      <c r="Q20" s="31">
        <v>34.07</v>
      </c>
      <c r="R20" s="70">
        <f t="shared" si="6"/>
        <v>613.26</v>
      </c>
    </row>
    <row r="21" spans="1:18" ht="52.5" customHeight="1" thickBot="1" x14ac:dyDescent="0.35">
      <c r="A21" s="526"/>
      <c r="B21" s="96" t="s">
        <v>40</v>
      </c>
      <c r="C21" s="53" t="s">
        <v>76</v>
      </c>
      <c r="D21" s="17"/>
      <c r="E21" s="21">
        <v>18</v>
      </c>
      <c r="F21" s="9">
        <v>18</v>
      </c>
      <c r="G21" s="2">
        <v>1</v>
      </c>
      <c r="H21" s="90">
        <f t="shared" si="4"/>
        <v>18</v>
      </c>
      <c r="I21" s="4">
        <f>2/60</f>
        <v>3.3333333333333333E-2</v>
      </c>
      <c r="J21" s="94">
        <f t="shared" si="0"/>
        <v>0.6</v>
      </c>
      <c r="K21" s="14">
        <f t="shared" si="1"/>
        <v>0</v>
      </c>
      <c r="L21" s="2">
        <v>0</v>
      </c>
      <c r="M21" s="1">
        <f t="shared" si="2"/>
        <v>0</v>
      </c>
      <c r="N21" s="4">
        <v>0</v>
      </c>
      <c r="O21" s="25">
        <f t="shared" si="7"/>
        <v>0</v>
      </c>
      <c r="P21" s="29">
        <f t="shared" si="8"/>
        <v>0.6</v>
      </c>
      <c r="Q21" s="31">
        <v>34.07</v>
      </c>
      <c r="R21" s="70">
        <f t="shared" si="6"/>
        <v>20.442</v>
      </c>
    </row>
    <row r="22" spans="1:18" ht="52.5" customHeight="1" thickBot="1" x14ac:dyDescent="0.35">
      <c r="A22" s="526"/>
      <c r="B22" s="52" t="s">
        <v>41</v>
      </c>
      <c r="C22" s="65" t="s">
        <v>38</v>
      </c>
      <c r="D22" s="17"/>
      <c r="E22" s="21">
        <v>2</v>
      </c>
      <c r="F22" s="9">
        <v>2</v>
      </c>
      <c r="G22" s="2">
        <v>1</v>
      </c>
      <c r="H22" s="90">
        <f t="shared" si="4"/>
        <v>2</v>
      </c>
      <c r="I22" s="3">
        <f>60/60</f>
        <v>1</v>
      </c>
      <c r="J22" s="94">
        <f t="shared" si="0"/>
        <v>2</v>
      </c>
      <c r="K22" s="14">
        <f t="shared" si="1"/>
        <v>0</v>
      </c>
      <c r="L22" s="2">
        <v>0</v>
      </c>
      <c r="M22" s="1">
        <f t="shared" si="2"/>
        <v>0</v>
      </c>
      <c r="N22" s="4">
        <v>0</v>
      </c>
      <c r="O22" s="25">
        <f t="shared" si="7"/>
        <v>0</v>
      </c>
      <c r="P22" s="29">
        <f t="shared" si="8"/>
        <v>2</v>
      </c>
      <c r="Q22" s="31">
        <v>41.89</v>
      </c>
      <c r="R22" s="70">
        <f t="shared" si="6"/>
        <v>83.78</v>
      </c>
    </row>
    <row r="23" spans="1:18" ht="52.5" customHeight="1" thickBot="1" x14ac:dyDescent="0.35">
      <c r="A23" s="526"/>
      <c r="B23" s="52" t="s">
        <v>41</v>
      </c>
      <c r="C23" s="65" t="s">
        <v>31</v>
      </c>
      <c r="D23" s="17"/>
      <c r="E23" s="21">
        <v>2</v>
      </c>
      <c r="F23" s="9">
        <v>2</v>
      </c>
      <c r="G23" s="2">
        <v>1</v>
      </c>
      <c r="H23" s="90">
        <f t="shared" ref="H23:H25" si="9">+F23*G23</f>
        <v>2</v>
      </c>
      <c r="I23" s="3">
        <f>60/60</f>
        <v>1</v>
      </c>
      <c r="J23" s="94">
        <f t="shared" ref="J23:J25" si="10">+H23*I23</f>
        <v>2</v>
      </c>
      <c r="K23" s="14">
        <f t="shared" si="1"/>
        <v>0</v>
      </c>
      <c r="L23" s="2">
        <v>0</v>
      </c>
      <c r="M23" s="1">
        <f t="shared" si="2"/>
        <v>0</v>
      </c>
      <c r="N23" s="4">
        <v>0</v>
      </c>
      <c r="O23" s="25">
        <f t="shared" si="7"/>
        <v>0</v>
      </c>
      <c r="P23" s="29">
        <f t="shared" si="8"/>
        <v>2</v>
      </c>
      <c r="Q23" s="31">
        <v>41.89</v>
      </c>
      <c r="R23" s="70">
        <f t="shared" si="6"/>
        <v>83.78</v>
      </c>
    </row>
    <row r="24" spans="1:18" ht="52.5" customHeight="1" thickBot="1" x14ac:dyDescent="0.35">
      <c r="A24" s="526"/>
      <c r="B24" s="52" t="s">
        <v>41</v>
      </c>
      <c r="C24" s="65" t="s">
        <v>66</v>
      </c>
      <c r="D24" s="17"/>
      <c r="E24" s="21">
        <v>2</v>
      </c>
      <c r="F24" s="9">
        <v>2</v>
      </c>
      <c r="G24" s="2">
        <v>1</v>
      </c>
      <c r="H24" s="90">
        <f t="shared" si="9"/>
        <v>2</v>
      </c>
      <c r="I24" s="3">
        <f>240/60</f>
        <v>4</v>
      </c>
      <c r="J24" s="94">
        <f t="shared" si="10"/>
        <v>8</v>
      </c>
      <c r="K24" s="14">
        <f t="shared" si="1"/>
        <v>0</v>
      </c>
      <c r="L24" s="2">
        <v>0</v>
      </c>
      <c r="M24" s="1">
        <f t="shared" si="2"/>
        <v>0</v>
      </c>
      <c r="N24" s="4">
        <v>0</v>
      </c>
      <c r="O24" s="25">
        <f t="shared" si="7"/>
        <v>0</v>
      </c>
      <c r="P24" s="29">
        <f t="shared" si="8"/>
        <v>8</v>
      </c>
      <c r="Q24" s="31">
        <v>41.89</v>
      </c>
      <c r="R24" s="70">
        <f t="shared" si="6"/>
        <v>335.12</v>
      </c>
    </row>
    <row r="25" spans="1:18" ht="52.5" customHeight="1" thickBot="1" x14ac:dyDescent="0.35">
      <c r="A25" s="527"/>
      <c r="B25" s="52" t="s">
        <v>41</v>
      </c>
      <c r="C25" s="53" t="s">
        <v>35</v>
      </c>
      <c r="D25" s="17"/>
      <c r="E25" s="21">
        <v>2</v>
      </c>
      <c r="F25" s="9">
        <v>2</v>
      </c>
      <c r="G25" s="2">
        <v>1</v>
      </c>
      <c r="H25" s="90">
        <f t="shared" si="9"/>
        <v>2</v>
      </c>
      <c r="I25" s="3">
        <f>60/60</f>
        <v>1</v>
      </c>
      <c r="J25" s="94">
        <f t="shared" si="10"/>
        <v>2</v>
      </c>
      <c r="K25" s="14">
        <f t="shared" si="1"/>
        <v>0</v>
      </c>
      <c r="L25" s="2">
        <v>0</v>
      </c>
      <c r="M25" s="1">
        <f t="shared" si="2"/>
        <v>0</v>
      </c>
      <c r="N25" s="4">
        <v>0</v>
      </c>
      <c r="O25" s="25">
        <f t="shared" si="7"/>
        <v>0</v>
      </c>
      <c r="P25" s="29">
        <f t="shared" si="8"/>
        <v>2</v>
      </c>
      <c r="Q25" s="31">
        <v>41.89</v>
      </c>
      <c r="R25" s="70">
        <f t="shared" si="6"/>
        <v>83.78</v>
      </c>
    </row>
    <row r="26" spans="1:18" ht="32.25" customHeight="1" thickBot="1" x14ac:dyDescent="0.35">
      <c r="A26" s="532" t="s">
        <v>18</v>
      </c>
      <c r="B26" s="52" t="s">
        <v>54</v>
      </c>
      <c r="C26" s="65" t="s">
        <v>70</v>
      </c>
      <c r="D26" s="17"/>
      <c r="E26" s="20">
        <v>2</v>
      </c>
      <c r="F26" s="22">
        <v>2</v>
      </c>
      <c r="G26" s="2">
        <v>1</v>
      </c>
      <c r="H26" s="89">
        <f t="shared" ref="H26:H30" si="11">+F26*G26</f>
        <v>2</v>
      </c>
      <c r="I26" s="3">
        <f>60/60</f>
        <v>1</v>
      </c>
      <c r="J26" s="94">
        <f t="shared" si="0"/>
        <v>2</v>
      </c>
      <c r="K26" s="14">
        <f t="shared" si="1"/>
        <v>0</v>
      </c>
      <c r="L26" s="2">
        <v>0</v>
      </c>
      <c r="M26" s="1">
        <f t="shared" si="2"/>
        <v>0</v>
      </c>
      <c r="N26" s="4">
        <v>0</v>
      </c>
      <c r="O26" s="25">
        <f t="shared" si="7"/>
        <v>0</v>
      </c>
      <c r="P26" s="72">
        <f t="shared" si="3"/>
        <v>2</v>
      </c>
      <c r="Q26" s="31">
        <v>21.89</v>
      </c>
      <c r="R26" s="70">
        <f t="shared" ref="R26:R30" si="12">Q26*P26</f>
        <v>43.78</v>
      </c>
    </row>
    <row r="27" spans="1:18" ht="56.25" customHeight="1" thickBot="1" x14ac:dyDescent="0.35">
      <c r="A27" s="533"/>
      <c r="B27" s="52" t="s">
        <v>53</v>
      </c>
      <c r="C27" s="53" t="s">
        <v>79</v>
      </c>
      <c r="D27" s="17"/>
      <c r="E27" s="20">
        <v>12</v>
      </c>
      <c r="F27" s="22">
        <v>12</v>
      </c>
      <c r="G27" s="2">
        <v>1</v>
      </c>
      <c r="H27" s="89">
        <f t="shared" si="11"/>
        <v>12</v>
      </c>
      <c r="I27" s="4">
        <f>3/60</f>
        <v>0.05</v>
      </c>
      <c r="J27" s="94">
        <f t="shared" si="0"/>
        <v>0.60000000000000009</v>
      </c>
      <c r="K27" s="14">
        <f>+E27-F27</f>
        <v>0</v>
      </c>
      <c r="L27" s="2">
        <v>0</v>
      </c>
      <c r="M27" s="1">
        <f t="shared" si="2"/>
        <v>0</v>
      </c>
      <c r="N27" s="4">
        <v>0</v>
      </c>
      <c r="O27" s="25">
        <f t="shared" si="7"/>
        <v>0</v>
      </c>
      <c r="P27" s="71">
        <f t="shared" si="3"/>
        <v>0.60000000000000009</v>
      </c>
      <c r="Q27" s="31">
        <v>21.89</v>
      </c>
      <c r="R27" s="70">
        <f t="shared" si="12"/>
        <v>13.134000000000002</v>
      </c>
    </row>
    <row r="28" spans="1:18" ht="32.25" customHeight="1" thickBot="1" x14ac:dyDescent="0.35">
      <c r="A28" s="533"/>
      <c r="B28" s="52" t="s">
        <v>54</v>
      </c>
      <c r="C28" s="53" t="s">
        <v>78</v>
      </c>
      <c r="D28" s="17"/>
      <c r="E28" s="20">
        <v>36</v>
      </c>
      <c r="F28" s="22">
        <v>36</v>
      </c>
      <c r="G28" s="2">
        <v>1</v>
      </c>
      <c r="H28" s="89">
        <f t="shared" si="11"/>
        <v>36</v>
      </c>
      <c r="I28" s="4">
        <f>60/60</f>
        <v>1</v>
      </c>
      <c r="J28" s="94">
        <f t="shared" si="0"/>
        <v>36</v>
      </c>
      <c r="K28" s="14">
        <f>+E28-F28</f>
        <v>0</v>
      </c>
      <c r="L28" s="2">
        <v>0</v>
      </c>
      <c r="M28" s="1">
        <f t="shared" si="2"/>
        <v>0</v>
      </c>
      <c r="N28" s="4">
        <v>0</v>
      </c>
      <c r="O28" s="25">
        <f t="shared" si="7"/>
        <v>0</v>
      </c>
      <c r="P28" s="72">
        <f t="shared" si="3"/>
        <v>36</v>
      </c>
      <c r="Q28" s="31">
        <v>21.89</v>
      </c>
      <c r="R28" s="70">
        <f t="shared" si="12"/>
        <v>788.04</v>
      </c>
    </row>
    <row r="29" spans="1:18" ht="26.25" customHeight="1" thickBot="1" x14ac:dyDescent="0.35">
      <c r="A29" s="533"/>
      <c r="B29" s="52" t="s">
        <v>54</v>
      </c>
      <c r="C29" s="53" t="s">
        <v>43</v>
      </c>
      <c r="D29" s="17"/>
      <c r="E29" s="20">
        <v>36</v>
      </c>
      <c r="F29" s="22">
        <v>36</v>
      </c>
      <c r="G29" s="2">
        <v>1</v>
      </c>
      <c r="H29" s="89">
        <f t="shared" si="11"/>
        <v>36</v>
      </c>
      <c r="I29" s="4">
        <f>2/60</f>
        <v>3.3333333333333333E-2</v>
      </c>
      <c r="J29" s="94">
        <f t="shared" si="0"/>
        <v>1.2</v>
      </c>
      <c r="K29" s="14">
        <f>+E29-F29</f>
        <v>0</v>
      </c>
      <c r="L29" s="2">
        <v>0</v>
      </c>
      <c r="M29" s="1">
        <f t="shared" si="2"/>
        <v>0</v>
      </c>
      <c r="N29" s="4">
        <v>0</v>
      </c>
      <c r="O29" s="25">
        <f t="shared" si="7"/>
        <v>0</v>
      </c>
      <c r="P29" s="72">
        <f t="shared" si="3"/>
        <v>1.2</v>
      </c>
      <c r="Q29" s="31">
        <v>21.89</v>
      </c>
      <c r="R29" s="70">
        <f t="shared" si="12"/>
        <v>26.268000000000001</v>
      </c>
    </row>
    <row r="30" spans="1:18" ht="21" thickBot="1" x14ac:dyDescent="0.35">
      <c r="A30" s="534"/>
      <c r="B30" s="52" t="s">
        <v>54</v>
      </c>
      <c r="C30" s="53" t="s">
        <v>42</v>
      </c>
      <c r="D30" s="57"/>
      <c r="E30" s="58">
        <v>60</v>
      </c>
      <c r="F30" s="59">
        <v>60</v>
      </c>
      <c r="G30" s="60">
        <v>1</v>
      </c>
      <c r="H30" s="92">
        <f t="shared" si="11"/>
        <v>60</v>
      </c>
      <c r="I30" s="62">
        <v>1.5</v>
      </c>
      <c r="J30" s="94">
        <f t="shared" si="0"/>
        <v>90</v>
      </c>
      <c r="K30" s="63">
        <f>+E30-F30</f>
        <v>0</v>
      </c>
      <c r="L30" s="60">
        <v>0</v>
      </c>
      <c r="M30" s="61">
        <f t="shared" si="2"/>
        <v>0</v>
      </c>
      <c r="N30" s="62">
        <v>0</v>
      </c>
      <c r="O30" s="64">
        <f t="shared" si="7"/>
        <v>0</v>
      </c>
      <c r="P30" s="82">
        <f t="shared" si="3"/>
        <v>90</v>
      </c>
      <c r="Q30" s="31">
        <v>21.89</v>
      </c>
      <c r="R30" s="70">
        <f t="shared" si="12"/>
        <v>1970.1000000000001</v>
      </c>
    </row>
    <row r="31" spans="1:18" ht="15.6" thickTop="1" thickBot="1" x14ac:dyDescent="0.35">
      <c r="A31" s="514" t="s">
        <v>58</v>
      </c>
      <c r="B31" s="515"/>
      <c r="C31" s="516"/>
      <c r="D31" s="34"/>
      <c r="E31" s="35">
        <f>2+6+6+1+6+18+2+2+36+24</f>
        <v>103</v>
      </c>
      <c r="F31" s="35">
        <f>2+6+6+1+6+18+2+2+36+24</f>
        <v>103</v>
      </c>
      <c r="G31" s="36">
        <f>H31/F31</f>
        <v>2.7864077669902914</v>
      </c>
      <c r="H31" s="87">
        <f>SUM(H4:H30)</f>
        <v>287</v>
      </c>
      <c r="I31" s="38">
        <f>J31/H31</f>
        <v>0.8797909407665504</v>
      </c>
      <c r="J31" s="91">
        <f>SUM(J4:J30)</f>
        <v>252.49999999999997</v>
      </c>
      <c r="K31" s="40">
        <v>0</v>
      </c>
      <c r="L31" s="74">
        <v>0</v>
      </c>
      <c r="M31" s="37">
        <f>SUM(M4:M30)</f>
        <v>0</v>
      </c>
      <c r="N31" s="41">
        <v>0</v>
      </c>
      <c r="O31" s="83">
        <f>SUM(O4:O30)</f>
        <v>0</v>
      </c>
      <c r="P31" s="77">
        <f t="shared" si="3"/>
        <v>252.49999999999997</v>
      </c>
      <c r="Q31" s="42" t="s">
        <v>17</v>
      </c>
      <c r="R31" s="73">
        <f>SUM(R4:R30)</f>
        <v>8112.6069999999991</v>
      </c>
    </row>
    <row r="32" spans="1:18" ht="39.75" customHeight="1" thickBot="1" x14ac:dyDescent="0.4">
      <c r="A32" s="518" t="s">
        <v>45</v>
      </c>
      <c r="B32" s="519"/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20"/>
    </row>
    <row r="33" spans="1:18" ht="21" thickBot="1" x14ac:dyDescent="0.35">
      <c r="A33" s="528" t="s">
        <v>44</v>
      </c>
      <c r="B33" s="56" t="s">
        <v>36</v>
      </c>
      <c r="C33" s="53" t="s">
        <v>55</v>
      </c>
      <c r="D33" s="17"/>
      <c r="E33" s="20">
        <v>2</v>
      </c>
      <c r="F33" s="22">
        <v>2</v>
      </c>
      <c r="G33" s="2">
        <v>1</v>
      </c>
      <c r="H33" s="89">
        <f t="shared" ref="H33:H41" si="13">+F33*G33</f>
        <v>2</v>
      </c>
      <c r="I33" s="3">
        <f>60/60</f>
        <v>1</v>
      </c>
      <c r="J33" s="23">
        <f t="shared" ref="J33:J41" si="14">+H33*I33</f>
        <v>2</v>
      </c>
      <c r="K33" s="14">
        <v>0</v>
      </c>
      <c r="L33" s="2">
        <v>0</v>
      </c>
      <c r="M33" s="5">
        <f t="shared" ref="M33:M41" si="15">+K33*L33</f>
        <v>0</v>
      </c>
      <c r="N33" s="4">
        <v>0</v>
      </c>
      <c r="O33" s="25">
        <f t="shared" ref="O33:O41" si="16">M33*N33</f>
        <v>0</v>
      </c>
      <c r="P33" s="72">
        <f t="shared" ref="P33:P41" si="17">+O33+J33</f>
        <v>2</v>
      </c>
      <c r="Q33" s="31">
        <v>34.07</v>
      </c>
      <c r="R33" s="70">
        <f t="shared" ref="R33:R41" si="18">Q33*P33</f>
        <v>68.14</v>
      </c>
    </row>
    <row r="34" spans="1:18" ht="31.2" thickBot="1" x14ac:dyDescent="0.35">
      <c r="A34" s="513"/>
      <c r="B34" s="56" t="s">
        <v>36</v>
      </c>
      <c r="C34" s="53" t="s">
        <v>80</v>
      </c>
      <c r="D34" s="17"/>
      <c r="E34" s="21">
        <v>6</v>
      </c>
      <c r="F34" s="9">
        <v>6</v>
      </c>
      <c r="G34" s="2">
        <v>1</v>
      </c>
      <c r="H34" s="90">
        <f t="shared" si="13"/>
        <v>6</v>
      </c>
      <c r="I34" s="3">
        <f>3/60</f>
        <v>0.05</v>
      </c>
      <c r="J34" s="66">
        <f t="shared" si="14"/>
        <v>0.30000000000000004</v>
      </c>
      <c r="K34" s="14">
        <f>+E34-F34</f>
        <v>0</v>
      </c>
      <c r="L34" s="2">
        <v>0</v>
      </c>
      <c r="M34" s="5">
        <f t="shared" si="15"/>
        <v>0</v>
      </c>
      <c r="N34" s="4">
        <v>0</v>
      </c>
      <c r="O34" s="25">
        <f t="shared" si="16"/>
        <v>0</v>
      </c>
      <c r="P34" s="71">
        <f t="shared" si="17"/>
        <v>0.30000000000000004</v>
      </c>
      <c r="Q34" s="31">
        <v>34.07</v>
      </c>
      <c r="R34" s="70">
        <f t="shared" si="18"/>
        <v>10.221000000000002</v>
      </c>
    </row>
    <row r="35" spans="1:18" ht="31.2" thickBot="1" x14ac:dyDescent="0.35">
      <c r="A35" s="513"/>
      <c r="B35" s="96" t="s">
        <v>36</v>
      </c>
      <c r="C35" s="53" t="s">
        <v>75</v>
      </c>
      <c r="D35" s="17"/>
      <c r="E35" s="21">
        <v>18</v>
      </c>
      <c r="F35" s="9">
        <v>18</v>
      </c>
      <c r="G35" s="2">
        <v>1</v>
      </c>
      <c r="H35" s="90">
        <f t="shared" si="13"/>
        <v>18</v>
      </c>
      <c r="I35" s="3">
        <f>60/60</f>
        <v>1</v>
      </c>
      <c r="J35" s="66">
        <f t="shared" si="14"/>
        <v>18</v>
      </c>
      <c r="K35" s="14">
        <f>+E35-F35</f>
        <v>0</v>
      </c>
      <c r="L35" s="2">
        <v>0</v>
      </c>
      <c r="M35" s="5">
        <f t="shared" si="15"/>
        <v>0</v>
      </c>
      <c r="N35" s="4">
        <v>0</v>
      </c>
      <c r="O35" s="25">
        <f t="shared" si="16"/>
        <v>0</v>
      </c>
      <c r="P35" s="72">
        <f t="shared" si="17"/>
        <v>18</v>
      </c>
      <c r="Q35" s="31">
        <v>34.07</v>
      </c>
      <c r="R35" s="70">
        <f t="shared" si="18"/>
        <v>613.26</v>
      </c>
    </row>
    <row r="36" spans="1:18" ht="21" thickBot="1" x14ac:dyDescent="0.35">
      <c r="A36" s="513"/>
      <c r="B36" s="96" t="s">
        <v>36</v>
      </c>
      <c r="C36" s="53" t="s">
        <v>76</v>
      </c>
      <c r="D36" s="17"/>
      <c r="E36" s="21">
        <v>18</v>
      </c>
      <c r="F36" s="9">
        <v>18</v>
      </c>
      <c r="G36" s="2">
        <v>1</v>
      </c>
      <c r="H36" s="90">
        <f t="shared" si="13"/>
        <v>18</v>
      </c>
      <c r="I36" s="4">
        <f>2/60</f>
        <v>3.3333333333333333E-2</v>
      </c>
      <c r="J36" s="66">
        <f t="shared" si="14"/>
        <v>0.6</v>
      </c>
      <c r="K36" s="14">
        <f>+E36-F36</f>
        <v>0</v>
      </c>
      <c r="L36" s="2">
        <v>0</v>
      </c>
      <c r="M36" s="5">
        <f t="shared" si="15"/>
        <v>0</v>
      </c>
      <c r="N36" s="4">
        <v>0</v>
      </c>
      <c r="O36" s="25">
        <f t="shared" si="16"/>
        <v>0</v>
      </c>
      <c r="P36" s="71">
        <f t="shared" si="17"/>
        <v>0.6</v>
      </c>
      <c r="Q36" s="31">
        <v>34.07</v>
      </c>
      <c r="R36" s="70">
        <f t="shared" si="18"/>
        <v>20.442</v>
      </c>
    </row>
    <row r="37" spans="1:18" ht="31.5" customHeight="1" thickBot="1" x14ac:dyDescent="0.35">
      <c r="A37" s="513"/>
      <c r="B37" s="95" t="s">
        <v>67</v>
      </c>
      <c r="C37" s="53" t="s">
        <v>56</v>
      </c>
      <c r="D37" s="57"/>
      <c r="E37" s="58">
        <v>1</v>
      </c>
      <c r="F37" s="59">
        <v>1</v>
      </c>
      <c r="G37" s="60">
        <v>1</v>
      </c>
      <c r="H37" s="92">
        <f t="shared" si="13"/>
        <v>1</v>
      </c>
      <c r="I37" s="62">
        <f>60/60</f>
        <v>1</v>
      </c>
      <c r="J37" s="66">
        <f t="shared" si="14"/>
        <v>1</v>
      </c>
      <c r="K37" s="63">
        <v>0</v>
      </c>
      <c r="L37" s="60">
        <v>0</v>
      </c>
      <c r="M37" s="5">
        <f t="shared" si="15"/>
        <v>0</v>
      </c>
      <c r="N37" s="62">
        <v>0</v>
      </c>
      <c r="O37" s="25">
        <f t="shared" si="16"/>
        <v>0</v>
      </c>
      <c r="P37" s="72">
        <f t="shared" si="17"/>
        <v>1</v>
      </c>
      <c r="Q37" s="31">
        <v>41.89</v>
      </c>
      <c r="R37" s="70">
        <f t="shared" si="18"/>
        <v>41.89</v>
      </c>
    </row>
    <row r="38" spans="1:18" ht="39" customHeight="1" thickBot="1" x14ac:dyDescent="0.35">
      <c r="A38" s="513"/>
      <c r="B38" s="95" t="s">
        <v>67</v>
      </c>
      <c r="C38" s="65" t="s">
        <v>38</v>
      </c>
      <c r="D38" s="57"/>
      <c r="E38" s="21">
        <v>2</v>
      </c>
      <c r="F38" s="9">
        <v>2</v>
      </c>
      <c r="G38" s="2">
        <v>1</v>
      </c>
      <c r="H38" s="90">
        <f t="shared" si="13"/>
        <v>2</v>
      </c>
      <c r="I38" s="3">
        <f>60/60</f>
        <v>1</v>
      </c>
      <c r="J38" s="66">
        <f t="shared" si="14"/>
        <v>2</v>
      </c>
      <c r="K38" s="63">
        <v>0</v>
      </c>
      <c r="L38" s="60">
        <v>0</v>
      </c>
      <c r="M38" s="5">
        <f t="shared" si="15"/>
        <v>0</v>
      </c>
      <c r="N38" s="62">
        <v>0</v>
      </c>
      <c r="O38" s="25">
        <f t="shared" si="16"/>
        <v>0</v>
      </c>
      <c r="P38" s="72">
        <f t="shared" si="17"/>
        <v>2</v>
      </c>
      <c r="Q38" s="31">
        <v>41.89</v>
      </c>
      <c r="R38" s="70">
        <f t="shared" si="18"/>
        <v>83.78</v>
      </c>
    </row>
    <row r="39" spans="1:18" ht="31.2" thickBot="1" x14ac:dyDescent="0.35">
      <c r="A39" s="513"/>
      <c r="B39" s="95" t="s">
        <v>67</v>
      </c>
      <c r="C39" s="65" t="s">
        <v>31</v>
      </c>
      <c r="D39" s="57"/>
      <c r="E39" s="21">
        <v>2</v>
      </c>
      <c r="F39" s="9">
        <v>2</v>
      </c>
      <c r="G39" s="2">
        <v>1</v>
      </c>
      <c r="H39" s="90">
        <f t="shared" si="13"/>
        <v>2</v>
      </c>
      <c r="I39" s="3">
        <f>60/60</f>
        <v>1</v>
      </c>
      <c r="J39" s="66">
        <f t="shared" si="14"/>
        <v>2</v>
      </c>
      <c r="K39" s="63">
        <v>0</v>
      </c>
      <c r="L39" s="60">
        <v>0</v>
      </c>
      <c r="M39" s="5">
        <f t="shared" si="15"/>
        <v>0</v>
      </c>
      <c r="N39" s="62">
        <v>0</v>
      </c>
      <c r="O39" s="25">
        <f t="shared" si="16"/>
        <v>0</v>
      </c>
      <c r="P39" s="72">
        <f t="shared" si="17"/>
        <v>2</v>
      </c>
      <c r="Q39" s="31">
        <v>41.89</v>
      </c>
      <c r="R39" s="70">
        <f t="shared" si="18"/>
        <v>83.78</v>
      </c>
    </row>
    <row r="40" spans="1:18" ht="21" thickBot="1" x14ac:dyDescent="0.35">
      <c r="A40" s="513"/>
      <c r="B40" s="95" t="s">
        <v>67</v>
      </c>
      <c r="C40" s="65" t="s">
        <v>66</v>
      </c>
      <c r="D40" s="57"/>
      <c r="E40" s="21">
        <v>2</v>
      </c>
      <c r="F40" s="9">
        <v>2</v>
      </c>
      <c r="G40" s="2">
        <v>1</v>
      </c>
      <c r="H40" s="90">
        <f t="shared" si="13"/>
        <v>2</v>
      </c>
      <c r="I40" s="3">
        <f>240/60</f>
        <v>4</v>
      </c>
      <c r="J40" s="66">
        <f t="shared" si="14"/>
        <v>8</v>
      </c>
      <c r="K40" s="63">
        <v>0</v>
      </c>
      <c r="L40" s="60">
        <v>0</v>
      </c>
      <c r="M40" s="5">
        <f t="shared" si="15"/>
        <v>0</v>
      </c>
      <c r="N40" s="62">
        <v>0</v>
      </c>
      <c r="O40" s="25">
        <f t="shared" si="16"/>
        <v>0</v>
      </c>
      <c r="P40" s="72">
        <f t="shared" si="17"/>
        <v>8</v>
      </c>
      <c r="Q40" s="31">
        <v>41.89</v>
      </c>
      <c r="R40" s="70">
        <f t="shared" si="18"/>
        <v>335.12</v>
      </c>
    </row>
    <row r="41" spans="1:18" ht="21" thickBot="1" x14ac:dyDescent="0.35">
      <c r="A41" s="513"/>
      <c r="B41" s="95" t="s">
        <v>67</v>
      </c>
      <c r="C41" s="53" t="s">
        <v>35</v>
      </c>
      <c r="D41" s="57"/>
      <c r="E41" s="21">
        <v>1</v>
      </c>
      <c r="F41" s="9">
        <v>1</v>
      </c>
      <c r="G41" s="2">
        <v>1</v>
      </c>
      <c r="H41" s="90">
        <f t="shared" si="13"/>
        <v>1</v>
      </c>
      <c r="I41" s="3">
        <f>60/60</f>
        <v>1</v>
      </c>
      <c r="J41" s="66">
        <f t="shared" si="14"/>
        <v>1</v>
      </c>
      <c r="K41" s="5">
        <v>0</v>
      </c>
      <c r="L41" s="75">
        <v>0</v>
      </c>
      <c r="M41" s="5">
        <f t="shared" si="15"/>
        <v>0</v>
      </c>
      <c r="N41" s="5"/>
      <c r="O41" s="5">
        <f t="shared" si="16"/>
        <v>0</v>
      </c>
      <c r="P41" s="72">
        <f t="shared" si="17"/>
        <v>1</v>
      </c>
      <c r="Q41" s="31">
        <v>41.89</v>
      </c>
      <c r="R41" s="70">
        <f t="shared" si="18"/>
        <v>41.89</v>
      </c>
    </row>
    <row r="42" spans="1:18" ht="15.6" thickTop="1" thickBot="1" x14ac:dyDescent="0.35">
      <c r="A42" s="514" t="s">
        <v>47</v>
      </c>
      <c r="B42" s="515"/>
      <c r="C42" s="516"/>
      <c r="D42" s="34"/>
      <c r="E42" s="35">
        <f>2+18+1+2</f>
        <v>23</v>
      </c>
      <c r="F42" s="35">
        <f>2+18+1+2</f>
        <v>23</v>
      </c>
      <c r="G42" s="36">
        <f>H42/F42</f>
        <v>2.2608695652173911</v>
      </c>
      <c r="H42" s="87">
        <f>SUM(H33:H41)</f>
        <v>52</v>
      </c>
      <c r="I42" s="38">
        <f>J42/H42</f>
        <v>0.67115384615384621</v>
      </c>
      <c r="J42" s="85">
        <f>SUM(J33:J41)</f>
        <v>34.900000000000006</v>
      </c>
      <c r="K42" s="40">
        <f>K34</f>
        <v>0</v>
      </c>
      <c r="L42" s="74">
        <v>0</v>
      </c>
      <c r="M42" s="37">
        <f>SUM(M16:M41)</f>
        <v>0</v>
      </c>
      <c r="N42" s="41">
        <v>0</v>
      </c>
      <c r="O42" s="83">
        <v>0</v>
      </c>
      <c r="P42" s="77">
        <f t="shared" ref="P42:P50" si="19">+O42+J42</f>
        <v>34.900000000000006</v>
      </c>
      <c r="Q42" s="42" t="s">
        <v>17</v>
      </c>
      <c r="R42" s="73">
        <f>SUM(R33:R41)</f>
        <v>1298.5229999999999</v>
      </c>
    </row>
    <row r="43" spans="1:18" ht="31.5" customHeight="1" thickBot="1" x14ac:dyDescent="0.4">
      <c r="A43" s="518" t="s">
        <v>48</v>
      </c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</row>
    <row r="44" spans="1:18" ht="31.2" thickBot="1" x14ac:dyDescent="0.35">
      <c r="A44" s="513" t="s">
        <v>71</v>
      </c>
      <c r="B44" s="56" t="s">
        <v>36</v>
      </c>
      <c r="C44" s="53" t="s">
        <v>81</v>
      </c>
      <c r="D44" s="17"/>
      <c r="E44" s="21">
        <v>6</v>
      </c>
      <c r="F44" s="9">
        <v>6</v>
      </c>
      <c r="G44" s="2">
        <v>1</v>
      </c>
      <c r="H44" s="88">
        <f t="shared" ref="H44:H46" si="20">+F44*G44</f>
        <v>6</v>
      </c>
      <c r="I44" s="3">
        <f>3/60</f>
        <v>0.05</v>
      </c>
      <c r="J44" s="66">
        <f t="shared" ref="J44:J50" si="21">+H44*I44</f>
        <v>0.30000000000000004</v>
      </c>
      <c r="K44" s="14">
        <f>+E44-F44</f>
        <v>0</v>
      </c>
      <c r="L44" s="2">
        <v>0</v>
      </c>
      <c r="M44" s="5">
        <f t="shared" ref="M44:M46" si="22">+K44*L44</f>
        <v>0</v>
      </c>
      <c r="N44" s="4">
        <v>0</v>
      </c>
      <c r="O44" s="25">
        <f t="shared" ref="O44:O46" si="23">M44*N44</f>
        <v>0</v>
      </c>
      <c r="P44" s="71">
        <f t="shared" si="19"/>
        <v>0.30000000000000004</v>
      </c>
      <c r="Q44" s="31">
        <v>34.07</v>
      </c>
      <c r="R44" s="70">
        <f t="shared" ref="R44:R50" si="24">Q44*P44</f>
        <v>10.221000000000002</v>
      </c>
    </row>
    <row r="45" spans="1:18" ht="31.2" thickBot="1" x14ac:dyDescent="0.35">
      <c r="A45" s="513"/>
      <c r="B45" s="56" t="s">
        <v>36</v>
      </c>
      <c r="C45" s="53" t="s">
        <v>75</v>
      </c>
      <c r="D45" s="17"/>
      <c r="E45" s="21">
        <v>18</v>
      </c>
      <c r="F45" s="9">
        <v>18</v>
      </c>
      <c r="G45" s="2">
        <v>1</v>
      </c>
      <c r="H45" s="88">
        <f t="shared" si="20"/>
        <v>18</v>
      </c>
      <c r="I45" s="3">
        <f>60/60</f>
        <v>1</v>
      </c>
      <c r="J45" s="66">
        <f t="shared" si="21"/>
        <v>18</v>
      </c>
      <c r="K45" s="14">
        <f>+E45-F45</f>
        <v>0</v>
      </c>
      <c r="L45" s="2">
        <v>0</v>
      </c>
      <c r="M45" s="5">
        <f t="shared" si="22"/>
        <v>0</v>
      </c>
      <c r="N45" s="4">
        <v>0</v>
      </c>
      <c r="O45" s="25">
        <f t="shared" si="23"/>
        <v>0</v>
      </c>
      <c r="P45" s="72">
        <f t="shared" si="19"/>
        <v>18</v>
      </c>
      <c r="Q45" s="31">
        <v>34.07</v>
      </c>
      <c r="R45" s="70">
        <f t="shared" si="24"/>
        <v>613.26</v>
      </c>
    </row>
    <row r="46" spans="1:18" ht="15" thickBot="1" x14ac:dyDescent="0.35">
      <c r="A46" s="513"/>
      <c r="B46" s="96" t="s">
        <v>36</v>
      </c>
      <c r="C46" s="53" t="s">
        <v>37</v>
      </c>
      <c r="D46" s="17"/>
      <c r="E46" s="21">
        <v>18</v>
      </c>
      <c r="F46" s="9">
        <v>18</v>
      </c>
      <c r="G46" s="2">
        <v>1</v>
      </c>
      <c r="H46" s="88">
        <f t="shared" si="20"/>
        <v>18</v>
      </c>
      <c r="I46" s="4">
        <f>2/60</f>
        <v>3.3333333333333333E-2</v>
      </c>
      <c r="J46" s="66">
        <f t="shared" si="21"/>
        <v>0.6</v>
      </c>
      <c r="K46" s="14">
        <f>+E46-F46</f>
        <v>0</v>
      </c>
      <c r="L46" s="2">
        <v>0</v>
      </c>
      <c r="M46" s="5">
        <f t="shared" si="22"/>
        <v>0</v>
      </c>
      <c r="N46" s="4">
        <v>0</v>
      </c>
      <c r="O46" s="25">
        <f t="shared" si="23"/>
        <v>0</v>
      </c>
      <c r="P46" s="71">
        <f t="shared" si="19"/>
        <v>0.6</v>
      </c>
      <c r="Q46" s="31">
        <v>34.07</v>
      </c>
      <c r="R46" s="70">
        <f t="shared" si="24"/>
        <v>20.442</v>
      </c>
    </row>
    <row r="47" spans="1:18" ht="21" thickBot="1" x14ac:dyDescent="0.35">
      <c r="A47" s="513"/>
      <c r="B47" s="95" t="s">
        <v>68</v>
      </c>
      <c r="C47" s="65" t="s">
        <v>38</v>
      </c>
      <c r="D47" s="57"/>
      <c r="E47" s="21">
        <v>2</v>
      </c>
      <c r="F47" s="9">
        <v>2</v>
      </c>
      <c r="G47" s="2">
        <v>1</v>
      </c>
      <c r="H47" s="88">
        <f t="shared" ref="H47:H50" si="25">+F47*G47</f>
        <v>2</v>
      </c>
      <c r="I47" s="3">
        <f>60/60</f>
        <v>1</v>
      </c>
      <c r="J47" s="66">
        <f t="shared" si="21"/>
        <v>2</v>
      </c>
      <c r="K47" s="63">
        <v>0</v>
      </c>
      <c r="L47" s="60">
        <v>0</v>
      </c>
      <c r="M47" s="61">
        <v>0</v>
      </c>
      <c r="N47" s="62">
        <v>0</v>
      </c>
      <c r="O47" s="64">
        <v>0</v>
      </c>
      <c r="P47" s="72">
        <f t="shared" si="19"/>
        <v>2</v>
      </c>
      <c r="Q47" s="31">
        <v>41.89</v>
      </c>
      <c r="R47" s="70">
        <f t="shared" si="24"/>
        <v>83.78</v>
      </c>
    </row>
    <row r="48" spans="1:18" ht="31.2" thickBot="1" x14ac:dyDescent="0.35">
      <c r="A48" s="513"/>
      <c r="B48" s="95" t="s">
        <v>68</v>
      </c>
      <c r="C48" s="65" t="s">
        <v>31</v>
      </c>
      <c r="D48" s="57"/>
      <c r="E48" s="21">
        <v>2</v>
      </c>
      <c r="F48" s="9">
        <v>2</v>
      </c>
      <c r="G48" s="2">
        <v>1</v>
      </c>
      <c r="H48" s="88">
        <f t="shared" si="25"/>
        <v>2</v>
      </c>
      <c r="I48" s="3">
        <f>60/60</f>
        <v>1</v>
      </c>
      <c r="J48" s="66">
        <f t="shared" si="21"/>
        <v>2</v>
      </c>
      <c r="K48" s="63">
        <v>0</v>
      </c>
      <c r="L48" s="60">
        <v>0</v>
      </c>
      <c r="M48" s="61">
        <v>0</v>
      </c>
      <c r="N48" s="62">
        <v>0</v>
      </c>
      <c r="O48" s="64">
        <v>0</v>
      </c>
      <c r="P48" s="72">
        <f t="shared" si="19"/>
        <v>2</v>
      </c>
      <c r="Q48" s="31">
        <v>41.89</v>
      </c>
      <c r="R48" s="70">
        <f t="shared" si="24"/>
        <v>83.78</v>
      </c>
    </row>
    <row r="49" spans="1:18" ht="21" thickBot="1" x14ac:dyDescent="0.35">
      <c r="A49" s="513"/>
      <c r="B49" s="95" t="s">
        <v>68</v>
      </c>
      <c r="C49" s="65" t="s">
        <v>34</v>
      </c>
      <c r="D49" s="57"/>
      <c r="E49" s="21">
        <v>2</v>
      </c>
      <c r="F49" s="9">
        <v>2</v>
      </c>
      <c r="G49" s="2">
        <v>1</v>
      </c>
      <c r="H49" s="88">
        <f t="shared" si="25"/>
        <v>2</v>
      </c>
      <c r="I49" s="3">
        <f>240/60</f>
        <v>4</v>
      </c>
      <c r="J49" s="66">
        <f t="shared" si="21"/>
        <v>8</v>
      </c>
      <c r="K49" s="63">
        <v>0</v>
      </c>
      <c r="L49" s="60">
        <v>0</v>
      </c>
      <c r="M49" s="61">
        <v>0</v>
      </c>
      <c r="N49" s="62">
        <v>0</v>
      </c>
      <c r="O49" s="64">
        <v>0</v>
      </c>
      <c r="P49" s="72">
        <f t="shared" si="19"/>
        <v>8</v>
      </c>
      <c r="Q49" s="31">
        <v>41.89</v>
      </c>
      <c r="R49" s="70">
        <f t="shared" si="24"/>
        <v>335.12</v>
      </c>
    </row>
    <row r="50" spans="1:18" ht="21" thickBot="1" x14ac:dyDescent="0.35">
      <c r="A50" s="513"/>
      <c r="B50" s="95" t="s">
        <v>68</v>
      </c>
      <c r="C50" s="53" t="s">
        <v>35</v>
      </c>
      <c r="D50" s="57"/>
      <c r="E50" s="21">
        <v>1</v>
      </c>
      <c r="F50" s="9">
        <v>1</v>
      </c>
      <c r="G50" s="2">
        <v>1</v>
      </c>
      <c r="H50" s="88">
        <f t="shared" si="25"/>
        <v>1</v>
      </c>
      <c r="I50" s="3">
        <f>60/60</f>
        <v>1</v>
      </c>
      <c r="J50" s="66">
        <f t="shared" si="21"/>
        <v>1</v>
      </c>
      <c r="K50" s="63">
        <v>0</v>
      </c>
      <c r="L50" s="60">
        <v>0</v>
      </c>
      <c r="M50" s="61">
        <v>0</v>
      </c>
      <c r="N50" s="62">
        <v>0</v>
      </c>
      <c r="O50" s="64">
        <v>0</v>
      </c>
      <c r="P50" s="72">
        <f t="shared" si="19"/>
        <v>1</v>
      </c>
      <c r="Q50" s="31">
        <v>41.89</v>
      </c>
      <c r="R50" s="70">
        <f t="shared" si="24"/>
        <v>41.89</v>
      </c>
    </row>
    <row r="51" spans="1:18" ht="15.6" thickTop="1" thickBot="1" x14ac:dyDescent="0.35">
      <c r="A51" s="514" t="s">
        <v>46</v>
      </c>
      <c r="B51" s="515"/>
      <c r="C51" s="516"/>
      <c r="D51" s="34"/>
      <c r="E51" s="35">
        <f>18+2</f>
        <v>20</v>
      </c>
      <c r="F51" s="35">
        <f>18+2</f>
        <v>20</v>
      </c>
      <c r="G51" s="36">
        <f>H51/F51</f>
        <v>2.4500000000000002</v>
      </c>
      <c r="H51" s="91">
        <f>SUM(H44:H50)</f>
        <v>49</v>
      </c>
      <c r="I51" s="41">
        <f>J51/H51</f>
        <v>0.65102040816326534</v>
      </c>
      <c r="J51" s="85">
        <f>SUM(J44:J50)</f>
        <v>31.900000000000002</v>
      </c>
      <c r="K51" s="40">
        <v>0</v>
      </c>
      <c r="L51" s="74">
        <v>0</v>
      </c>
      <c r="M51" s="37">
        <f>SUM(M44:M50)</f>
        <v>0</v>
      </c>
      <c r="N51" s="41">
        <v>0</v>
      </c>
      <c r="O51" s="39">
        <f>SUM(O44:O50)</f>
        <v>0</v>
      </c>
      <c r="P51" s="77">
        <f t="shared" ref="P51" si="26">+O51+J51</f>
        <v>31.900000000000002</v>
      </c>
      <c r="Q51" s="42" t="s">
        <v>17</v>
      </c>
      <c r="R51" s="73">
        <f>SUM(R44:R50)</f>
        <v>1188.4930000000002</v>
      </c>
    </row>
    <row r="52" spans="1:18" ht="15" thickBot="1" x14ac:dyDescent="0.35">
      <c r="A52" s="43"/>
      <c r="B52" s="44" t="s">
        <v>0</v>
      </c>
      <c r="C52" s="45"/>
      <c r="D52" s="49"/>
      <c r="E52" s="50">
        <f>E31+E42+E51</f>
        <v>146</v>
      </c>
      <c r="F52" s="50">
        <f>F31+F42+F51</f>
        <v>146</v>
      </c>
      <c r="G52" s="46">
        <f>+H52/F52</f>
        <v>2.6575342465753424</v>
      </c>
      <c r="H52" s="93">
        <f>H31+H42+H51</f>
        <v>388</v>
      </c>
      <c r="I52" s="46">
        <f>+J52/H52</f>
        <v>0.82293814432989676</v>
      </c>
      <c r="J52" s="86">
        <f>J31+J42+J51</f>
        <v>319.29999999999995</v>
      </c>
      <c r="K52" s="51">
        <v>0</v>
      </c>
      <c r="L52" s="47">
        <v>0</v>
      </c>
      <c r="M52" s="47">
        <f>SUM(M11:M51)</f>
        <v>0</v>
      </c>
      <c r="N52" s="47">
        <v>0</v>
      </c>
      <c r="O52" s="50">
        <f>O31+O42+O51</f>
        <v>0</v>
      </c>
      <c r="P52" s="50">
        <f>P31+P42+P51</f>
        <v>319.29999999999995</v>
      </c>
      <c r="Q52" s="48"/>
      <c r="R52" s="78">
        <f>R31+R42+R51</f>
        <v>10599.623</v>
      </c>
    </row>
    <row r="53" spans="1:18" x14ac:dyDescent="0.3">
      <c r="P53" s="76">
        <f>J52+O52</f>
        <v>319.29999999999995</v>
      </c>
    </row>
    <row r="54" spans="1:18" ht="17.25" customHeight="1" x14ac:dyDescent="0.3">
      <c r="A54" s="517" t="s">
        <v>63</v>
      </c>
      <c r="B54" s="517"/>
      <c r="C54" s="517"/>
      <c r="D54" s="517"/>
      <c r="E54" s="517"/>
      <c r="F54" s="517"/>
      <c r="G54" s="517"/>
      <c r="H54" s="517"/>
      <c r="I54" s="517"/>
      <c r="J54" s="517"/>
      <c r="K54" s="517"/>
      <c r="L54" s="517"/>
      <c r="M54" s="517"/>
      <c r="N54" s="517"/>
      <c r="O54" s="517"/>
      <c r="P54" s="517"/>
      <c r="Q54" s="517"/>
      <c r="R54" s="517"/>
    </row>
    <row r="55" spans="1:18" ht="14.25" customHeight="1" x14ac:dyDescent="0.3">
      <c r="A55" t="s">
        <v>62</v>
      </c>
    </row>
    <row r="56" spans="1:18" ht="15.75" customHeight="1" x14ac:dyDescent="0.3">
      <c r="A56" t="s">
        <v>61</v>
      </c>
    </row>
    <row r="57" spans="1:18" x14ac:dyDescent="0.3">
      <c r="A57" t="s">
        <v>60</v>
      </c>
    </row>
    <row r="58" spans="1:18" x14ac:dyDescent="0.3">
      <c r="A58" t="s">
        <v>59</v>
      </c>
    </row>
    <row r="62" spans="1:18" ht="15.75" customHeight="1" x14ac:dyDescent="0.3"/>
  </sheetData>
  <mergeCells count="13">
    <mergeCell ref="F1:J1"/>
    <mergeCell ref="K1:O1"/>
    <mergeCell ref="A4:A25"/>
    <mergeCell ref="A33:A41"/>
    <mergeCell ref="A42:C42"/>
    <mergeCell ref="A3:R3"/>
    <mergeCell ref="A26:A30"/>
    <mergeCell ref="A44:A50"/>
    <mergeCell ref="A51:C51"/>
    <mergeCell ref="A54:R54"/>
    <mergeCell ref="A31:C31"/>
    <mergeCell ref="A32:R32"/>
    <mergeCell ref="A43:R43"/>
  </mergeCells>
  <hyperlinks>
    <hyperlink ref="A54" r:id="rId1" display="http://www.bls.gov/oes/current/oes_nat.htm" xr:uid="{00000000-0004-0000-0100-000000000000}"/>
  </hyperlinks>
  <pageMargins left="0.7" right="0.7" top="0.75" bottom="0.75" header="0.3" footer="0.3"/>
  <pageSetup scale="55" fitToHeight="0" orientation="landscape" r:id="rId2"/>
  <headerFooter>
    <oddHeader>&amp;A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topLeftCell="A15" workbookViewId="0">
      <selection activeCell="J22" sqref="J22"/>
    </sheetView>
  </sheetViews>
  <sheetFormatPr defaultRowHeight="14.4" x14ac:dyDescent="0.3"/>
  <cols>
    <col min="10" max="10" width="18.21875" customWidth="1"/>
    <col min="13" max="13" width="50" customWidth="1"/>
  </cols>
  <sheetData>
    <row r="1" spans="1:13" x14ac:dyDescent="0.3">
      <c r="A1" s="114" t="s">
        <v>19</v>
      </c>
      <c r="B1" s="114"/>
      <c r="C1" s="114"/>
      <c r="J1" t="s">
        <v>23</v>
      </c>
      <c r="K1" t="s">
        <v>24</v>
      </c>
      <c r="M1" t="s">
        <v>26</v>
      </c>
    </row>
    <row r="4" spans="1:13" x14ac:dyDescent="0.3">
      <c r="A4" s="114" t="s">
        <v>98</v>
      </c>
    </row>
    <row r="5" spans="1:13" x14ac:dyDescent="0.3">
      <c r="A5" t="s">
        <v>99</v>
      </c>
    </row>
    <row r="6" spans="1:13" x14ac:dyDescent="0.3">
      <c r="A6" s="113" t="s">
        <v>100</v>
      </c>
      <c r="J6">
        <v>4</v>
      </c>
      <c r="K6">
        <f>J6*1.5</f>
        <v>6</v>
      </c>
    </row>
    <row r="7" spans="1:13" x14ac:dyDescent="0.3">
      <c r="A7" s="113" t="s">
        <v>101</v>
      </c>
      <c r="J7">
        <v>4</v>
      </c>
      <c r="K7">
        <f>J7*1.5</f>
        <v>6</v>
      </c>
    </row>
    <row r="8" spans="1:13" x14ac:dyDescent="0.3">
      <c r="A8" s="102"/>
      <c r="J8">
        <v>8</v>
      </c>
      <c r="K8">
        <v>12</v>
      </c>
    </row>
    <row r="10" spans="1:13" x14ac:dyDescent="0.3">
      <c r="A10" t="s">
        <v>72</v>
      </c>
    </row>
    <row r="11" spans="1:13" x14ac:dyDescent="0.3">
      <c r="A11" s="113" t="s">
        <v>20</v>
      </c>
      <c r="J11">
        <v>8</v>
      </c>
      <c r="K11">
        <v>8</v>
      </c>
    </row>
    <row r="12" spans="1:13" x14ac:dyDescent="0.3">
      <c r="A12" s="113" t="s">
        <v>21</v>
      </c>
      <c r="J12">
        <v>8</v>
      </c>
      <c r="K12">
        <v>8</v>
      </c>
      <c r="M12" s="535" t="s">
        <v>103</v>
      </c>
    </row>
    <row r="13" spans="1:13" x14ac:dyDescent="0.3">
      <c r="A13" s="113" t="s">
        <v>22</v>
      </c>
      <c r="J13">
        <v>8</v>
      </c>
      <c r="K13">
        <v>8</v>
      </c>
      <c r="M13" s="535"/>
    </row>
    <row r="14" spans="1:13" x14ac:dyDescent="0.3">
      <c r="A14" s="113" t="s">
        <v>102</v>
      </c>
      <c r="J14">
        <v>40</v>
      </c>
      <c r="K14">
        <v>80</v>
      </c>
      <c r="M14" t="s">
        <v>122</v>
      </c>
    </row>
    <row r="15" spans="1:13" x14ac:dyDescent="0.3">
      <c r="A15" s="113" t="s">
        <v>84</v>
      </c>
      <c r="J15">
        <v>16</v>
      </c>
      <c r="K15">
        <v>16</v>
      </c>
      <c r="M15" t="s">
        <v>104</v>
      </c>
    </row>
    <row r="16" spans="1:13" x14ac:dyDescent="0.3">
      <c r="A16" s="113" t="s">
        <v>83</v>
      </c>
      <c r="J16">
        <v>80</v>
      </c>
    </row>
    <row r="18" spans="1:13" x14ac:dyDescent="0.3">
      <c r="A18" t="s">
        <v>105</v>
      </c>
    </row>
    <row r="19" spans="1:13" x14ac:dyDescent="0.3">
      <c r="A19" s="113" t="s">
        <v>109</v>
      </c>
      <c r="J19">
        <v>8</v>
      </c>
    </row>
    <row r="20" spans="1:13" x14ac:dyDescent="0.3">
      <c r="A20" s="115" t="s">
        <v>106</v>
      </c>
      <c r="J20">
        <v>3</v>
      </c>
    </row>
    <row r="21" spans="1:13" x14ac:dyDescent="0.3">
      <c r="A21" s="115" t="s">
        <v>107</v>
      </c>
      <c r="J21">
        <v>2</v>
      </c>
    </row>
    <row r="22" spans="1:13" x14ac:dyDescent="0.3">
      <c r="A22" s="115" t="s">
        <v>108</v>
      </c>
      <c r="J22">
        <v>3</v>
      </c>
    </row>
    <row r="23" spans="1:13" x14ac:dyDescent="0.3">
      <c r="A23" s="113" t="s">
        <v>111</v>
      </c>
      <c r="J23">
        <v>16</v>
      </c>
      <c r="M23" s="535" t="s">
        <v>113</v>
      </c>
    </row>
    <row r="24" spans="1:13" x14ac:dyDescent="0.3">
      <c r="A24" s="115" t="s">
        <v>110</v>
      </c>
      <c r="J24">
        <v>6</v>
      </c>
      <c r="M24" s="535"/>
    </row>
    <row r="25" spans="1:13" x14ac:dyDescent="0.3">
      <c r="A25" s="115" t="s">
        <v>107</v>
      </c>
      <c r="J25">
        <v>4</v>
      </c>
      <c r="M25" s="535"/>
    </row>
    <row r="26" spans="1:13" x14ac:dyDescent="0.3">
      <c r="A26" s="115" t="s">
        <v>108</v>
      </c>
      <c r="J26">
        <v>6</v>
      </c>
      <c r="M26" s="535"/>
    </row>
    <row r="27" spans="1:13" x14ac:dyDescent="0.3">
      <c r="A27" s="113" t="s">
        <v>112</v>
      </c>
      <c r="J27">
        <v>16</v>
      </c>
      <c r="M27" s="535"/>
    </row>
    <row r="28" spans="1:13" x14ac:dyDescent="0.3">
      <c r="A28" s="115" t="s">
        <v>110</v>
      </c>
      <c r="J28">
        <v>6</v>
      </c>
      <c r="M28" s="84"/>
    </row>
    <row r="29" spans="1:13" x14ac:dyDescent="0.3">
      <c r="A29" s="115" t="s">
        <v>107</v>
      </c>
      <c r="J29">
        <v>4</v>
      </c>
      <c r="M29" s="84"/>
    </row>
    <row r="30" spans="1:13" x14ac:dyDescent="0.3">
      <c r="A30" s="115" t="s">
        <v>108</v>
      </c>
      <c r="J30">
        <v>6</v>
      </c>
      <c r="M30" s="84"/>
    </row>
    <row r="31" spans="1:13" ht="67.5" customHeight="1" x14ac:dyDescent="0.3">
      <c r="A31" s="115" t="s">
        <v>114</v>
      </c>
      <c r="I31" t="s">
        <v>97</v>
      </c>
      <c r="J31">
        <v>8</v>
      </c>
      <c r="K31">
        <v>8</v>
      </c>
      <c r="M31" s="84" t="s">
        <v>85</v>
      </c>
    </row>
    <row r="32" spans="1:13" x14ac:dyDescent="0.3">
      <c r="A32" s="115" t="s">
        <v>110</v>
      </c>
      <c r="J32">
        <v>3</v>
      </c>
      <c r="K32">
        <v>3</v>
      </c>
      <c r="M32" s="84"/>
    </row>
    <row r="33" spans="1:13" x14ac:dyDescent="0.3">
      <c r="A33" s="115" t="s">
        <v>107</v>
      </c>
      <c r="J33">
        <v>2</v>
      </c>
      <c r="K33">
        <v>2</v>
      </c>
      <c r="M33" s="84"/>
    </row>
    <row r="34" spans="1:13" x14ac:dyDescent="0.3">
      <c r="A34" s="115" t="s">
        <v>108</v>
      </c>
      <c r="J34">
        <v>3</v>
      </c>
      <c r="K34">
        <v>3</v>
      </c>
      <c r="M34" s="84"/>
    </row>
    <row r="35" spans="1:13" x14ac:dyDescent="0.3">
      <c r="A35" s="115"/>
      <c r="M35" s="84"/>
    </row>
    <row r="36" spans="1:13" x14ac:dyDescent="0.3">
      <c r="A36" s="115"/>
      <c r="M36" s="84"/>
    </row>
    <row r="38" spans="1:13" ht="15" thickBot="1" x14ac:dyDescent="0.35">
      <c r="A38" s="114" t="s">
        <v>115</v>
      </c>
      <c r="J38" t="s">
        <v>25</v>
      </c>
      <c r="K38" t="s">
        <v>24</v>
      </c>
    </row>
    <row r="39" spans="1:13" ht="15" thickBot="1" x14ac:dyDescent="0.35">
      <c r="A39" s="116" t="s">
        <v>82</v>
      </c>
      <c r="B39" s="117"/>
      <c r="C39" s="117"/>
      <c r="D39" s="117"/>
      <c r="E39" s="117"/>
      <c r="F39" s="117"/>
      <c r="G39" s="117"/>
      <c r="H39" s="117"/>
      <c r="I39" s="117"/>
      <c r="J39" s="117">
        <v>4</v>
      </c>
      <c r="K39" s="117">
        <v>16</v>
      </c>
      <c r="L39" s="117"/>
      <c r="M39" s="117"/>
    </row>
    <row r="40" spans="1:13" x14ac:dyDescent="0.3">
      <c r="A40" s="102" t="s">
        <v>116</v>
      </c>
      <c r="J40">
        <v>4</v>
      </c>
      <c r="K40">
        <v>32</v>
      </c>
    </row>
    <row r="41" spans="1:13" x14ac:dyDescent="0.3">
      <c r="A41" s="102" t="s">
        <v>117</v>
      </c>
      <c r="J41">
        <v>2</v>
      </c>
      <c r="K41">
        <v>8</v>
      </c>
    </row>
    <row r="42" spans="1:13" x14ac:dyDescent="0.3">
      <c r="A42" s="102"/>
    </row>
    <row r="43" spans="1:13" x14ac:dyDescent="0.3">
      <c r="A43" s="118" t="s">
        <v>118</v>
      </c>
      <c r="J43" t="s">
        <v>119</v>
      </c>
      <c r="K43" t="s">
        <v>88</v>
      </c>
    </row>
    <row r="44" spans="1:13" x14ac:dyDescent="0.3">
      <c r="A44" s="115" t="s">
        <v>120</v>
      </c>
      <c r="J44">
        <v>4</v>
      </c>
      <c r="K44">
        <v>32</v>
      </c>
    </row>
    <row r="45" spans="1:13" x14ac:dyDescent="0.3">
      <c r="A45" s="115" t="s">
        <v>121</v>
      </c>
      <c r="J45">
        <v>4</v>
      </c>
      <c r="K45">
        <v>40</v>
      </c>
    </row>
    <row r="46" spans="1:13" x14ac:dyDescent="0.3">
      <c r="A46" s="536"/>
      <c r="B46" s="536"/>
      <c r="C46" s="536"/>
      <c r="D46" s="536"/>
      <c r="E46" s="536"/>
      <c r="F46" s="536"/>
      <c r="G46" s="536"/>
      <c r="H46" s="536"/>
      <c r="I46" s="536"/>
    </row>
    <row r="48" spans="1:13" x14ac:dyDescent="0.3">
      <c r="A48" s="118" t="s">
        <v>86</v>
      </c>
      <c r="J48" t="s">
        <v>87</v>
      </c>
      <c r="K48" t="s">
        <v>88</v>
      </c>
    </row>
    <row r="49" spans="1:13" x14ac:dyDescent="0.3">
      <c r="A49" s="115" t="s">
        <v>89</v>
      </c>
      <c r="J49">
        <v>8</v>
      </c>
      <c r="K49">
        <v>8</v>
      </c>
      <c r="M49" t="s">
        <v>90</v>
      </c>
    </row>
    <row r="50" spans="1:13" x14ac:dyDescent="0.3">
      <c r="A50" s="115" t="s">
        <v>91</v>
      </c>
      <c r="J50">
        <v>3</v>
      </c>
      <c r="K50">
        <v>3</v>
      </c>
      <c r="M50" t="s">
        <v>92</v>
      </c>
    </row>
    <row r="51" spans="1:13" x14ac:dyDescent="0.3">
      <c r="A51" t="s">
        <v>93</v>
      </c>
      <c r="J51">
        <v>3</v>
      </c>
      <c r="K51">
        <v>2</v>
      </c>
      <c r="M51" t="s">
        <v>92</v>
      </c>
    </row>
    <row r="52" spans="1:13" x14ac:dyDescent="0.3">
      <c r="A52" t="s">
        <v>94</v>
      </c>
      <c r="J52">
        <v>2</v>
      </c>
      <c r="K52">
        <v>3</v>
      </c>
      <c r="M52" t="s">
        <v>92</v>
      </c>
    </row>
    <row r="53" spans="1:13" x14ac:dyDescent="0.3">
      <c r="I53" t="s">
        <v>95</v>
      </c>
      <c r="J53">
        <v>16</v>
      </c>
      <c r="K53">
        <f>SUM(K49:K52)</f>
        <v>16</v>
      </c>
    </row>
  </sheetData>
  <mergeCells count="3">
    <mergeCell ref="M12:M13"/>
    <mergeCell ref="M23:M27"/>
    <mergeCell ref="A46:I46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1EC02A8-0ED5-4103-B250-F4592D9E333E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dbcbb5a-2d39-43bd-b6c7-d27f844c7fb7"/>
  </ds:schemaRefs>
</ds:datastoreItem>
</file>

<file path=customXml/itemProps3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Burden Table</vt:lpstr>
      <vt:lpstr>Burden Table - Detailed OMB</vt:lpstr>
      <vt:lpstr>assumptions</vt:lpstr>
      <vt:lpstr>'Burden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Corey, Kristen - FNS</cp:lastModifiedBy>
  <cp:lastPrinted>2019-04-22T17:31:06Z</cp:lastPrinted>
  <dcterms:created xsi:type="dcterms:W3CDTF">2013-01-08T21:49:18Z</dcterms:created>
  <dcterms:modified xsi:type="dcterms:W3CDTF">2024-01-05T18:32:24Z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