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CC246782-093F-4C90-A521-A8DF14735E1B}" xr6:coauthVersionLast="47" xr6:coauthVersionMax="47" xr10:uidLastSave="{00000000-0000-0000-0000-000000000000}"/>
  <bookViews>
    <workbookView xWindow="-110" yWindow="-110" windowWidth="19420" windowHeight="10300" xr2:uid="{D855CF00-F869-48B3-9963-4AD001D31E8A}"/>
  </bookViews>
  <sheets>
    <sheet name="Summary" sheetId="13" r:id="rId1"/>
    <sheet name="Table 6.1a" sheetId="1" r:id="rId2"/>
    <sheet name="Table 6.1b" sheetId="7" r:id="rId3"/>
    <sheet name="Table 6.1c" sheetId="8" r:id="rId4"/>
    <sheet name="Table 6.2a" sheetId="2" r:id="rId5"/>
    <sheet name="Table 6.2b" sheetId="9" r:id="rId6"/>
    <sheet name="Table 6.2c" sheetId="10" r:id="rId7"/>
    <sheet name="Table 6.3" sheetId="4" r:id="rId8"/>
    <sheet name="Table 6.4" sheetId="3" r:id="rId9"/>
    <sheet name="Table 6.5" sheetId="5" r:id="rId10"/>
    <sheet name="Table 6.6" sheetId="11" r:id="rId11"/>
    <sheet name="PSEU Counts"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13" l="1"/>
  <c r="B4" i="13"/>
  <c r="B3" i="13"/>
  <c r="B22" i="12" l="1"/>
  <c r="B24" i="12" s="1"/>
  <c r="C64" i="12"/>
  <c r="B5" i="11"/>
  <c r="I5" i="4"/>
  <c r="I4" i="4"/>
  <c r="I6" i="4"/>
  <c r="H6" i="4"/>
  <c r="G6" i="4"/>
  <c r="G5" i="4"/>
  <c r="G4" i="4"/>
  <c r="F6" i="4"/>
  <c r="F5" i="4"/>
  <c r="F4" i="4"/>
  <c r="E6" i="4"/>
  <c r="E5" i="4"/>
  <c r="E4" i="4"/>
  <c r="L4" i="4"/>
  <c r="L3" i="4"/>
  <c r="B6" i="4"/>
  <c r="C12" i="10"/>
  <c r="C12" i="9"/>
  <c r="C6" i="10"/>
  <c r="C6" i="9"/>
  <c r="F5" i="2"/>
  <c r="C12" i="2"/>
  <c r="C6" i="2"/>
  <c r="D5" i="2" l="1"/>
  <c r="H19" i="8"/>
  <c r="H19" i="7"/>
  <c r="H19" i="1"/>
  <c r="F64" i="12"/>
  <c r="F5" i="1"/>
  <c r="P57" i="12"/>
  <c r="P59" i="12"/>
  <c r="P30" i="12" l="1"/>
  <c r="P58" i="12" s="1"/>
  <c r="P64" i="12" s="1"/>
  <c r="D24" i="12"/>
  <c r="B23" i="12"/>
  <c r="I6" i="10"/>
  <c r="I5" i="10"/>
  <c r="I6" i="9"/>
  <c r="I5" i="9"/>
  <c r="I6" i="2"/>
  <c r="I5" i="2"/>
  <c r="M7" i="8"/>
  <c r="M6" i="8"/>
  <c r="M7" i="7"/>
  <c r="M6" i="7"/>
  <c r="M7" i="1"/>
  <c r="M6" i="1"/>
  <c r="P32" i="12" l="1"/>
  <c r="P34" i="12" s="1"/>
  <c r="B8" i="12"/>
  <c r="D6" i="3"/>
  <c r="D5" i="3"/>
  <c r="D4" i="3"/>
  <c r="AB32" i="12"/>
  <c r="C29" i="12"/>
  <c r="D29" i="12" s="1"/>
  <c r="C30" i="12"/>
  <c r="D30" i="12" s="1"/>
  <c r="AB30" i="12"/>
  <c r="C31" i="12"/>
  <c r="D31" i="12" s="1"/>
  <c r="AB31" i="12"/>
  <c r="AB59" i="12" s="1"/>
  <c r="C32" i="12"/>
  <c r="D32" i="12" s="1"/>
  <c r="D33" i="12"/>
  <c r="F33" i="12" s="1"/>
  <c r="E33" i="12"/>
  <c r="E61" i="12" s="1"/>
  <c r="D34" i="12"/>
  <c r="F34" i="12" s="1"/>
  <c r="E34" i="12"/>
  <c r="E62" i="12" s="1"/>
  <c r="D36" i="12"/>
  <c r="D37" i="12"/>
  <c r="F37" i="12" s="1"/>
  <c r="D38" i="12"/>
  <c r="F38" i="12" s="1"/>
  <c r="D39" i="12"/>
  <c r="F39" i="12" s="1"/>
  <c r="D40" i="12"/>
  <c r="G40" i="12" s="1"/>
  <c r="J40" i="12" s="1"/>
  <c r="F40" i="12"/>
  <c r="H40" i="12" s="1"/>
  <c r="D41" i="12"/>
  <c r="F41" i="12" s="1"/>
  <c r="D43" i="12"/>
  <c r="G43" i="12" s="1"/>
  <c r="AB43" i="12"/>
  <c r="D44" i="12"/>
  <c r="G44" i="12" s="1"/>
  <c r="F44" i="12"/>
  <c r="H44" i="12" s="1"/>
  <c r="AB44" i="12"/>
  <c r="D45" i="12"/>
  <c r="F45" i="12" s="1"/>
  <c r="AB45" i="12"/>
  <c r="D46" i="12"/>
  <c r="F46" i="12" s="1"/>
  <c r="AB46" i="12"/>
  <c r="D47" i="12"/>
  <c r="F47" i="12" s="1"/>
  <c r="AB47" i="12"/>
  <c r="D48" i="12"/>
  <c r="F48" i="12" s="1"/>
  <c r="AB48" i="12"/>
  <c r="D50" i="12"/>
  <c r="F50" i="12" s="1"/>
  <c r="D51" i="12"/>
  <c r="F51" i="12" s="1"/>
  <c r="D52" i="12"/>
  <c r="F52" i="12"/>
  <c r="L52" i="12" s="1"/>
  <c r="G52" i="12"/>
  <c r="J52" i="12" s="1"/>
  <c r="D53" i="12"/>
  <c r="G53" i="12" s="1"/>
  <c r="D54" i="12"/>
  <c r="F54" i="12" s="1"/>
  <c r="D55" i="12"/>
  <c r="F55" i="12" s="1"/>
  <c r="C57" i="12"/>
  <c r="I57" i="12"/>
  <c r="K57" i="12"/>
  <c r="K64" i="12" s="1"/>
  <c r="M57" i="12"/>
  <c r="O57" i="12"/>
  <c r="O64" i="12" s="1"/>
  <c r="Q57" i="12"/>
  <c r="R57" i="12"/>
  <c r="S57" i="12"/>
  <c r="T57" i="12"/>
  <c r="U57" i="12"/>
  <c r="V57" i="12"/>
  <c r="W57" i="12"/>
  <c r="X57" i="12"/>
  <c r="Y57" i="12"/>
  <c r="Z57" i="12"/>
  <c r="AA57" i="12"/>
  <c r="AC57" i="12"/>
  <c r="AD57" i="12"/>
  <c r="AE57" i="12"/>
  <c r="I58" i="12"/>
  <c r="I64" i="12" s="1"/>
  <c r="K58" i="12"/>
  <c r="M58" i="12"/>
  <c r="O58" i="12"/>
  <c r="I59" i="12"/>
  <c r="K59" i="12"/>
  <c r="M59" i="12"/>
  <c r="M65" i="12" s="1"/>
  <c r="O59" i="12"/>
  <c r="Q59" i="12"/>
  <c r="R59" i="12"/>
  <c r="S59" i="12"/>
  <c r="T59" i="12"/>
  <c r="U59" i="12"/>
  <c r="V59" i="12"/>
  <c r="W59" i="12"/>
  <c r="X59" i="12"/>
  <c r="Y59" i="12"/>
  <c r="Z59" i="12"/>
  <c r="AA59" i="12"/>
  <c r="AC59" i="12"/>
  <c r="AD59" i="12"/>
  <c r="AE59" i="12"/>
  <c r="I60" i="12"/>
  <c r="K60" i="12"/>
  <c r="K65" i="12" s="1"/>
  <c r="M60" i="12"/>
  <c r="O60" i="12"/>
  <c r="C61" i="12"/>
  <c r="I61" i="12"/>
  <c r="K61" i="12"/>
  <c r="M61" i="12"/>
  <c r="O61" i="12"/>
  <c r="P61" i="12"/>
  <c r="Q61" i="12"/>
  <c r="R61" i="12"/>
  <c r="S61" i="12"/>
  <c r="T61" i="12"/>
  <c r="U61" i="12"/>
  <c r="V61" i="12"/>
  <c r="W61" i="12"/>
  <c r="X61" i="12"/>
  <c r="Y61" i="12"/>
  <c r="Z61" i="12"/>
  <c r="AA61" i="12"/>
  <c r="AC61" i="12"/>
  <c r="AD61" i="12"/>
  <c r="AE61" i="12"/>
  <c r="C62" i="12"/>
  <c r="I62" i="12"/>
  <c r="K62" i="12"/>
  <c r="M62" i="12"/>
  <c r="O62" i="12"/>
  <c r="I65" i="12"/>
  <c r="E6" i="11"/>
  <c r="C58" i="12" l="1"/>
  <c r="F53" i="12"/>
  <c r="AB58" i="12"/>
  <c r="AB34" i="12"/>
  <c r="AB62" i="12" s="1"/>
  <c r="I66" i="12"/>
  <c r="AB33" i="12"/>
  <c r="AB61" i="12" s="1"/>
  <c r="AB29" i="12"/>
  <c r="O66" i="12"/>
  <c r="C66" i="12"/>
  <c r="F43" i="12"/>
  <c r="H43" i="12" s="1"/>
  <c r="G38" i="12"/>
  <c r="J38" i="12" s="1"/>
  <c r="M66" i="12"/>
  <c r="M8" i="7"/>
  <c r="M8" i="1"/>
  <c r="M8" i="8"/>
  <c r="K66" i="12"/>
  <c r="G50" i="12"/>
  <c r="J50" i="12" s="1"/>
  <c r="G41" i="12"/>
  <c r="J41" i="12" s="1"/>
  <c r="N53" i="12"/>
  <c r="J53" i="12"/>
  <c r="F30" i="12"/>
  <c r="F58" i="12" s="1"/>
  <c r="G30" i="12"/>
  <c r="J30" i="12" s="1"/>
  <c r="M64" i="12"/>
  <c r="N50" i="12"/>
  <c r="G46" i="12"/>
  <c r="J46" i="12" s="1"/>
  <c r="O65" i="12"/>
  <c r="E66" i="12"/>
  <c r="H5" i="8" s="1"/>
  <c r="E30" i="12"/>
  <c r="E58" i="12" s="1"/>
  <c r="AB60" i="12"/>
  <c r="AB65" i="12" s="1"/>
  <c r="C60" i="12"/>
  <c r="H52" i="12"/>
  <c r="G45" i="12"/>
  <c r="J45" i="12" s="1"/>
  <c r="P37" i="12"/>
  <c r="W37" i="12" s="1"/>
  <c r="E32" i="12"/>
  <c r="E60" i="12" s="1"/>
  <c r="J43" i="12"/>
  <c r="N43" i="12"/>
  <c r="H33" i="12"/>
  <c r="F61" i="12"/>
  <c r="L33" i="12"/>
  <c r="L37" i="12"/>
  <c r="H37" i="12"/>
  <c r="H55" i="12"/>
  <c r="L55" i="12"/>
  <c r="L45" i="12"/>
  <c r="H45" i="12"/>
  <c r="Q37" i="12"/>
  <c r="AC37" i="12"/>
  <c r="P39" i="12"/>
  <c r="R37" i="12"/>
  <c r="AD37" i="12"/>
  <c r="F32" i="12"/>
  <c r="D60" i="12"/>
  <c r="G32" i="12"/>
  <c r="F29" i="12"/>
  <c r="G29" i="12"/>
  <c r="D57" i="12"/>
  <c r="H51" i="12"/>
  <c r="L51" i="12"/>
  <c r="J44" i="12"/>
  <c r="N44" i="12"/>
  <c r="F62" i="12"/>
  <c r="H34" i="12"/>
  <c r="L34" i="12"/>
  <c r="F31" i="12"/>
  <c r="G31" i="12"/>
  <c r="D59" i="12"/>
  <c r="L46" i="12"/>
  <c r="H46" i="12"/>
  <c r="L38" i="12"/>
  <c r="H38" i="12"/>
  <c r="L48" i="12"/>
  <c r="H48" i="12"/>
  <c r="H41" i="12"/>
  <c r="L41" i="12"/>
  <c r="H54" i="12"/>
  <c r="L54" i="12"/>
  <c r="L47" i="12"/>
  <c r="H47" i="12"/>
  <c r="L39" i="12"/>
  <c r="H39" i="12"/>
  <c r="H50" i="12"/>
  <c r="L50" i="12"/>
  <c r="P44" i="12"/>
  <c r="G39" i="12"/>
  <c r="G36" i="12"/>
  <c r="G48" i="12"/>
  <c r="G47" i="12"/>
  <c r="G37" i="12"/>
  <c r="F36" i="12"/>
  <c r="L44" i="12"/>
  <c r="L43" i="12"/>
  <c r="N40" i="12"/>
  <c r="D62" i="12"/>
  <c r="C59" i="12"/>
  <c r="P51" i="12"/>
  <c r="D58" i="12"/>
  <c r="G54" i="12"/>
  <c r="N52" i="12"/>
  <c r="N46" i="12"/>
  <c r="N45" i="12"/>
  <c r="N41" i="12"/>
  <c r="L40" i="12"/>
  <c r="N38" i="12"/>
  <c r="G34" i="12"/>
  <c r="E29" i="12"/>
  <c r="E57" i="12" s="1"/>
  <c r="D61" i="12"/>
  <c r="G55" i="12"/>
  <c r="G51" i="12"/>
  <c r="G33" i="12"/>
  <c r="E31" i="12"/>
  <c r="E59" i="12" s="1"/>
  <c r="AB66" i="12" l="1"/>
  <c r="C10" i="10" s="1"/>
  <c r="AB57" i="12"/>
  <c r="AB64" i="12" s="1"/>
  <c r="E64" i="12"/>
  <c r="H5" i="1" s="1"/>
  <c r="T37" i="12"/>
  <c r="X37" i="12"/>
  <c r="H30" i="12"/>
  <c r="U37" i="12"/>
  <c r="L53" i="12"/>
  <c r="H53" i="12"/>
  <c r="E65" i="12"/>
  <c r="H5" i="7" s="1"/>
  <c r="S37" i="12"/>
  <c r="L30" i="12"/>
  <c r="L58" i="12" s="1"/>
  <c r="V37" i="12"/>
  <c r="H15" i="7"/>
  <c r="C10" i="9"/>
  <c r="D66" i="12"/>
  <c r="N30" i="12"/>
  <c r="C65" i="12"/>
  <c r="N37" i="12"/>
  <c r="J37" i="12"/>
  <c r="Z51" i="12"/>
  <c r="AA51" i="12"/>
  <c r="AC51" i="12"/>
  <c r="P53" i="12"/>
  <c r="Y51" i="12"/>
  <c r="AE51" i="12"/>
  <c r="N47" i="12"/>
  <c r="J47" i="12"/>
  <c r="F59" i="12"/>
  <c r="F65" i="12" s="1"/>
  <c r="L31" i="12"/>
  <c r="L59" i="12" s="1"/>
  <c r="H31" i="12"/>
  <c r="H59" i="12" s="1"/>
  <c r="N32" i="12"/>
  <c r="J32" i="12"/>
  <c r="G60" i="12"/>
  <c r="V39" i="12"/>
  <c r="W39" i="12"/>
  <c r="X39" i="12"/>
  <c r="Q39" i="12"/>
  <c r="AC39" i="12"/>
  <c r="P41" i="12"/>
  <c r="T39" i="12"/>
  <c r="U39" i="12"/>
  <c r="R39" i="12"/>
  <c r="AD39" i="12"/>
  <c r="S39" i="12"/>
  <c r="J33" i="12"/>
  <c r="G61" i="12"/>
  <c r="N33" i="12"/>
  <c r="N48" i="12"/>
  <c r="J48" i="12"/>
  <c r="L62" i="12"/>
  <c r="J51" i="12"/>
  <c r="N51" i="12"/>
  <c r="N58" i="12" s="1"/>
  <c r="N36" i="12"/>
  <c r="J36" i="12"/>
  <c r="H62" i="12"/>
  <c r="L32" i="12"/>
  <c r="H32" i="12"/>
  <c r="F60" i="12"/>
  <c r="N34" i="12"/>
  <c r="G62" i="12"/>
  <c r="J34" i="12"/>
  <c r="G59" i="12"/>
  <c r="N31" i="12"/>
  <c r="N59" i="12" s="1"/>
  <c r="J31" i="12"/>
  <c r="J59" i="12" s="1"/>
  <c r="J55" i="12"/>
  <c r="N55" i="12"/>
  <c r="N39" i="12"/>
  <c r="J39" i="12"/>
  <c r="D64" i="12"/>
  <c r="AA44" i="12"/>
  <c r="AC44" i="12"/>
  <c r="Y44" i="12"/>
  <c r="Y58" i="12" s="1"/>
  <c r="Y64" i="12" s="1"/>
  <c r="AE44" i="12"/>
  <c r="AE58" i="12" s="1"/>
  <c r="AE64" i="12" s="1"/>
  <c r="P46" i="12"/>
  <c r="Z44" i="12"/>
  <c r="N29" i="12"/>
  <c r="G57" i="12"/>
  <c r="J29" i="12"/>
  <c r="J57" i="12" s="1"/>
  <c r="L61" i="12"/>
  <c r="G58" i="12"/>
  <c r="U30" i="12"/>
  <c r="AD30" i="12"/>
  <c r="AD58" i="12" s="1"/>
  <c r="AD64" i="12" s="1"/>
  <c r="H18" i="1" s="1"/>
  <c r="V30" i="12"/>
  <c r="V58" i="12" s="1"/>
  <c r="V64" i="12" s="1"/>
  <c r="W30" i="12"/>
  <c r="W58" i="12" s="1"/>
  <c r="W64" i="12" s="1"/>
  <c r="X30" i="12"/>
  <c r="X58" i="12" s="1"/>
  <c r="X64" i="12" s="1"/>
  <c r="S30" i="12"/>
  <c r="S58" i="12" s="1"/>
  <c r="S64" i="12" s="1"/>
  <c r="T30" i="12"/>
  <c r="T58" i="12" s="1"/>
  <c r="T64" i="12" s="1"/>
  <c r="Q30" i="12"/>
  <c r="B13" i="3"/>
  <c r="R30" i="12"/>
  <c r="R58" i="12" s="1"/>
  <c r="R64" i="12" s="1"/>
  <c r="AC30" i="12"/>
  <c r="F66" i="12"/>
  <c r="N54" i="12"/>
  <c r="J54" i="12"/>
  <c r="L36" i="12"/>
  <c r="H36" i="12"/>
  <c r="H58" i="12"/>
  <c r="D65" i="12"/>
  <c r="L29" i="12"/>
  <c r="F57" i="12"/>
  <c r="H29" i="12"/>
  <c r="H61" i="12"/>
  <c r="H66" i="12" s="1"/>
  <c r="C10" i="2" l="1"/>
  <c r="H15" i="1"/>
  <c r="H15" i="8"/>
  <c r="N57" i="12"/>
  <c r="N64" i="12" s="1"/>
  <c r="U58" i="12"/>
  <c r="U64" i="12" s="1"/>
  <c r="H60" i="12"/>
  <c r="H65" i="12" s="1"/>
  <c r="L60" i="12"/>
  <c r="L66" i="12"/>
  <c r="H57" i="12"/>
  <c r="H64" i="12" s="1"/>
  <c r="AA58" i="12"/>
  <c r="AA64" i="12" s="1"/>
  <c r="G65" i="12"/>
  <c r="C9" i="9" s="1"/>
  <c r="H7" i="1"/>
  <c r="C8" i="2"/>
  <c r="H7" i="8"/>
  <c r="C8" i="10"/>
  <c r="H7" i="7"/>
  <c r="C8" i="9"/>
  <c r="AC58" i="12"/>
  <c r="AC64" i="12" s="1"/>
  <c r="Z58" i="12"/>
  <c r="Z64" i="12" s="1"/>
  <c r="N62" i="12"/>
  <c r="J58" i="12"/>
  <c r="J64" i="12" s="1"/>
  <c r="AC46" i="12"/>
  <c r="AE46" i="12"/>
  <c r="P48" i="12"/>
  <c r="Y46" i="12"/>
  <c r="AA46" i="12"/>
  <c r="Z46" i="12"/>
  <c r="Q58" i="12"/>
  <c r="Q64" i="12" s="1"/>
  <c r="J60" i="12"/>
  <c r="J65" i="12" s="1"/>
  <c r="N61" i="12"/>
  <c r="U41" i="12"/>
  <c r="V41" i="12"/>
  <c r="W41" i="12"/>
  <c r="X41" i="12"/>
  <c r="T41" i="12"/>
  <c r="Q41" i="12"/>
  <c r="AC41" i="12"/>
  <c r="R41" i="12"/>
  <c r="AD41" i="12"/>
  <c r="S41" i="12"/>
  <c r="N60" i="12"/>
  <c r="N65" i="12" s="1"/>
  <c r="Y53" i="12"/>
  <c r="Z53" i="12"/>
  <c r="P55" i="12"/>
  <c r="AA53" i="12"/>
  <c r="AC53" i="12"/>
  <c r="AE53" i="12"/>
  <c r="G66" i="12"/>
  <c r="L57" i="12"/>
  <c r="L64" i="12" s="1"/>
  <c r="V32" i="12"/>
  <c r="V60" i="12" s="1"/>
  <c r="V65" i="12" s="1"/>
  <c r="P60" i="12"/>
  <c r="P65" i="12" s="1"/>
  <c r="B14" i="3" s="1"/>
  <c r="U32" i="12"/>
  <c r="U60" i="12" s="1"/>
  <c r="U65" i="12" s="1"/>
  <c r="W32" i="12"/>
  <c r="W60" i="12" s="1"/>
  <c r="W65" i="12" s="1"/>
  <c r="T32" i="12"/>
  <c r="T60" i="12" s="1"/>
  <c r="T65" i="12" s="1"/>
  <c r="X32" i="12"/>
  <c r="X60" i="12" s="1"/>
  <c r="X65" i="12" s="1"/>
  <c r="Q32" i="12"/>
  <c r="R32" i="12"/>
  <c r="R60" i="12" s="1"/>
  <c r="R65" i="12" s="1"/>
  <c r="AC32" i="12"/>
  <c r="S32" i="12"/>
  <c r="S60" i="12" s="1"/>
  <c r="S65" i="12" s="1"/>
  <c r="AD32" i="12"/>
  <c r="AD60" i="12" s="1"/>
  <c r="AD65" i="12" s="1"/>
  <c r="H18" i="7" s="1"/>
  <c r="G64" i="12"/>
  <c r="J62" i="12"/>
  <c r="J61" i="12"/>
  <c r="L65" i="12"/>
  <c r="C11" i="2" l="1"/>
  <c r="H16" i="1"/>
  <c r="H8" i="7"/>
  <c r="H14" i="7" s="1"/>
  <c r="H8" i="1"/>
  <c r="C9" i="2"/>
  <c r="AC60" i="12"/>
  <c r="AC65" i="12" s="1"/>
  <c r="H13" i="8"/>
  <c r="H10" i="8"/>
  <c r="Z60" i="12"/>
  <c r="Z65" i="12" s="1"/>
  <c r="H10" i="1"/>
  <c r="H13" i="1"/>
  <c r="J66" i="12"/>
  <c r="Q60" i="12"/>
  <c r="Q65" i="12" s="1"/>
  <c r="H8" i="8"/>
  <c r="C9" i="10"/>
  <c r="H13" i="7"/>
  <c r="H10" i="7"/>
  <c r="Y60" i="12"/>
  <c r="Y65" i="12" s="1"/>
  <c r="AA60" i="12"/>
  <c r="AA65" i="12" s="1"/>
  <c r="N66" i="12"/>
  <c r="AE48" i="12"/>
  <c r="Y48" i="12"/>
  <c r="Z48" i="12"/>
  <c r="AA48" i="12"/>
  <c r="AC48" i="12"/>
  <c r="Z55" i="12"/>
  <c r="AA55" i="12"/>
  <c r="Y55" i="12"/>
  <c r="AC55" i="12"/>
  <c r="AE55" i="12"/>
  <c r="AE60" i="12"/>
  <c r="AE65" i="12" s="1"/>
  <c r="Q34" i="12"/>
  <c r="R34" i="12"/>
  <c r="R62" i="12" s="1"/>
  <c r="R66" i="12" s="1"/>
  <c r="AC34" i="12"/>
  <c r="S34" i="12"/>
  <c r="S62" i="12" s="1"/>
  <c r="S66" i="12" s="1"/>
  <c r="AD34" i="12"/>
  <c r="AD62" i="12" s="1"/>
  <c r="AD66" i="12" s="1"/>
  <c r="H18" i="8" s="1"/>
  <c r="P62" i="12"/>
  <c r="P66" i="12" s="1"/>
  <c r="B15" i="3" s="1"/>
  <c r="T34" i="12"/>
  <c r="T62" i="12" s="1"/>
  <c r="T66" i="12" s="1"/>
  <c r="W34" i="12"/>
  <c r="W62" i="12" s="1"/>
  <c r="W66" i="12" s="1"/>
  <c r="X34" i="12"/>
  <c r="X62" i="12" s="1"/>
  <c r="X66" i="12" s="1"/>
  <c r="U34" i="12"/>
  <c r="U62" i="12" s="1"/>
  <c r="U66" i="12" s="1"/>
  <c r="V34" i="12"/>
  <c r="V62" i="12" s="1"/>
  <c r="V66" i="12" s="1"/>
  <c r="C11" i="9" l="1"/>
  <c r="H16" i="7"/>
  <c r="H11" i="7"/>
  <c r="AE62" i="12"/>
  <c r="AE66" i="12" s="1"/>
  <c r="H11" i="8"/>
  <c r="H14" i="8"/>
  <c r="H11" i="1"/>
  <c r="H14" i="1"/>
  <c r="AC62" i="12"/>
  <c r="AC66" i="12" s="1"/>
  <c r="Q62" i="12"/>
  <c r="Q66" i="12" s="1"/>
  <c r="AA62" i="12"/>
  <c r="AA66" i="12" s="1"/>
  <c r="Z62" i="12"/>
  <c r="Z66" i="12" s="1"/>
  <c r="Y62" i="12"/>
  <c r="Y66" i="12" s="1"/>
  <c r="C4" i="4"/>
  <c r="B17" i="3"/>
  <c r="B18" i="3"/>
  <c r="B4" i="11" s="1"/>
  <c r="B6" i="11" s="1"/>
  <c r="C11" i="10" l="1"/>
  <c r="D11" i="10" s="1"/>
  <c r="E11" i="10" s="1"/>
  <c r="F11" i="10" s="1"/>
  <c r="H16" i="8"/>
  <c r="D4" i="4"/>
  <c r="D6" i="4" s="1"/>
  <c r="C6" i="4"/>
  <c r="D13" i="10"/>
  <c r="E13" i="10" s="1"/>
  <c r="F13" i="10" s="1"/>
  <c r="D12" i="10"/>
  <c r="D10" i="10"/>
  <c r="D9" i="10"/>
  <c r="D8" i="10"/>
  <c r="D6" i="10"/>
  <c r="D5" i="10"/>
  <c r="D13" i="9"/>
  <c r="D12" i="9"/>
  <c r="D11" i="9"/>
  <c r="E11" i="9" s="1"/>
  <c r="F11" i="9" s="1"/>
  <c r="D10" i="9"/>
  <c r="D9" i="9"/>
  <c r="E9" i="9" s="1"/>
  <c r="D8" i="9"/>
  <c r="E8" i="9" s="1"/>
  <c r="F8" i="9" s="1"/>
  <c r="D6" i="9"/>
  <c r="E6" i="9" s="1"/>
  <c r="F6" i="9" s="1"/>
  <c r="D5" i="9"/>
  <c r="D8" i="2"/>
  <c r="E8" i="2" s="1"/>
  <c r="D9" i="2"/>
  <c r="E9" i="2" s="1"/>
  <c r="F9" i="2" s="1"/>
  <c r="D10" i="2"/>
  <c r="D11" i="2"/>
  <c r="E11" i="2" s="1"/>
  <c r="F11" i="2" s="1"/>
  <c r="D12" i="2"/>
  <c r="E12" i="2" s="1"/>
  <c r="F12" i="2" s="1"/>
  <c r="D13" i="2"/>
  <c r="E13" i="2"/>
  <c r="F13" i="2" s="1"/>
  <c r="D21" i="8"/>
  <c r="G21" i="8" s="1"/>
  <c r="J21" i="8" s="1"/>
  <c r="D20" i="8"/>
  <c r="G20" i="8" s="1"/>
  <c r="D19" i="8"/>
  <c r="G19" i="8" s="1"/>
  <c r="J19" i="8" s="1"/>
  <c r="D18" i="8"/>
  <c r="G18" i="8" s="1"/>
  <c r="J18" i="8" s="1"/>
  <c r="G16" i="8"/>
  <c r="J16" i="8" s="1"/>
  <c r="D16" i="8"/>
  <c r="F16" i="8" s="1"/>
  <c r="I16" i="8" s="1"/>
  <c r="D15" i="8"/>
  <c r="F15" i="8" s="1"/>
  <c r="I15" i="8" s="1"/>
  <c r="D14" i="8"/>
  <c r="G14" i="8" s="1"/>
  <c r="J14" i="8" s="1"/>
  <c r="D13" i="8"/>
  <c r="D11" i="8"/>
  <c r="G11" i="8" s="1"/>
  <c r="J11" i="8" s="1"/>
  <c r="D10" i="8"/>
  <c r="F10" i="8" s="1"/>
  <c r="I10" i="8" s="1"/>
  <c r="D8" i="8"/>
  <c r="F8" i="8" s="1"/>
  <c r="I8" i="8" s="1"/>
  <c r="D7" i="8"/>
  <c r="D5" i="8"/>
  <c r="G5" i="8" s="1"/>
  <c r="J5" i="8" s="1"/>
  <c r="D21" i="7"/>
  <c r="G21" i="7" s="1"/>
  <c r="J21" i="7" s="1"/>
  <c r="D20" i="7"/>
  <c r="F20" i="7" s="1"/>
  <c r="D19" i="7"/>
  <c r="G19" i="7" s="1"/>
  <c r="J19" i="7" s="1"/>
  <c r="G18" i="7"/>
  <c r="J18" i="7" s="1"/>
  <c r="D18" i="7"/>
  <c r="F18" i="7" s="1"/>
  <c r="I18" i="7" s="1"/>
  <c r="D16" i="7"/>
  <c r="G16" i="7" s="1"/>
  <c r="J16" i="7" s="1"/>
  <c r="D15" i="7"/>
  <c r="G15" i="7" s="1"/>
  <c r="J15" i="7" s="1"/>
  <c r="J22" i="7" s="1"/>
  <c r="D14" i="7"/>
  <c r="F14" i="7" s="1"/>
  <c r="I14" i="7" s="1"/>
  <c r="D13" i="7"/>
  <c r="G13" i="7" s="1"/>
  <c r="J13" i="7" s="1"/>
  <c r="G11" i="7"/>
  <c r="J11" i="7" s="1"/>
  <c r="D11" i="7"/>
  <c r="D10" i="7"/>
  <c r="F10" i="7" s="1"/>
  <c r="I10" i="7" s="1"/>
  <c r="D8" i="7"/>
  <c r="F8" i="7" s="1"/>
  <c r="I8" i="7" s="1"/>
  <c r="D7" i="7"/>
  <c r="G7" i="7" s="1"/>
  <c r="J7" i="7" s="1"/>
  <c r="D5" i="7"/>
  <c r="F5" i="7" s="1"/>
  <c r="I5" i="7" s="1"/>
  <c r="G8" i="1"/>
  <c r="F18" i="1"/>
  <c r="D7" i="1"/>
  <c r="D8" i="1"/>
  <c r="D10" i="1"/>
  <c r="D11" i="1"/>
  <c r="D13" i="1"/>
  <c r="D14" i="1"/>
  <c r="F14" i="1" s="1"/>
  <c r="I14" i="1" s="1"/>
  <c r="D15" i="1"/>
  <c r="F15" i="1" s="1"/>
  <c r="D16" i="1"/>
  <c r="F16" i="1" s="1"/>
  <c r="D18" i="1"/>
  <c r="G18" i="1" s="1"/>
  <c r="D19" i="1"/>
  <c r="F19" i="1" s="1"/>
  <c r="I19" i="1" s="1"/>
  <c r="D20" i="1"/>
  <c r="G20" i="1" s="1"/>
  <c r="D21" i="1"/>
  <c r="F21" i="1" s="1"/>
  <c r="I21" i="1" s="1"/>
  <c r="D5" i="1"/>
  <c r="G5" i="1" s="1"/>
  <c r="J5" i="1" s="1"/>
  <c r="G10" i="1"/>
  <c r="G11" i="1"/>
  <c r="G13" i="1"/>
  <c r="D14" i="10" l="1"/>
  <c r="E10" i="9"/>
  <c r="E14" i="9" s="1"/>
  <c r="D14" i="9"/>
  <c r="E10" i="2"/>
  <c r="D14" i="2"/>
  <c r="I22" i="8"/>
  <c r="H4" i="4"/>
  <c r="E8" i="10"/>
  <c r="F8" i="10" s="1"/>
  <c r="E5" i="9"/>
  <c r="E5" i="2"/>
  <c r="F19" i="7"/>
  <c r="I19" i="7" s="1"/>
  <c r="G5" i="7"/>
  <c r="J5" i="7" s="1"/>
  <c r="F21" i="7"/>
  <c r="I21" i="7" s="1"/>
  <c r="I5" i="1"/>
  <c r="G19" i="1"/>
  <c r="J19" i="1" s="1"/>
  <c r="G16" i="1"/>
  <c r="G15" i="1"/>
  <c r="G14" i="1"/>
  <c r="J14" i="1" s="1"/>
  <c r="F14" i="8"/>
  <c r="I14" i="8" s="1"/>
  <c r="G10" i="8"/>
  <c r="J10" i="8" s="1"/>
  <c r="F5" i="8"/>
  <c r="I5" i="8" s="1"/>
  <c r="G8" i="8"/>
  <c r="J8" i="8" s="1"/>
  <c r="G15" i="8"/>
  <c r="J15" i="8" s="1"/>
  <c r="J22" i="8" s="1"/>
  <c r="F7" i="7"/>
  <c r="I7" i="7" s="1"/>
  <c r="G7" i="8"/>
  <c r="J7" i="8" s="1"/>
  <c r="G10" i="7"/>
  <c r="J10" i="7" s="1"/>
  <c r="F13" i="7"/>
  <c r="I13" i="7" s="1"/>
  <c r="F11" i="8"/>
  <c r="I11" i="8" s="1"/>
  <c r="F11" i="1"/>
  <c r="F10" i="1"/>
  <c r="G13" i="8"/>
  <c r="J13" i="8" s="1"/>
  <c r="F10" i="9"/>
  <c r="F14" i="9" s="1"/>
  <c r="E5" i="10"/>
  <c r="F5" i="10" s="1"/>
  <c r="E9" i="10"/>
  <c r="F9" i="10" s="1"/>
  <c r="E12" i="10"/>
  <c r="F12" i="10" s="1"/>
  <c r="E6" i="10"/>
  <c r="F6" i="10" s="1"/>
  <c r="E10" i="10"/>
  <c r="F13" i="9"/>
  <c r="F5" i="9"/>
  <c r="F9" i="9"/>
  <c r="E12" i="9"/>
  <c r="F12" i="9" s="1"/>
  <c r="E13" i="9"/>
  <c r="F8" i="2"/>
  <c r="F18" i="8"/>
  <c r="I18" i="8" s="1"/>
  <c r="F21" i="8"/>
  <c r="I21" i="8" s="1"/>
  <c r="F20" i="8"/>
  <c r="F13" i="8"/>
  <c r="I13" i="8" s="1"/>
  <c r="F7" i="8"/>
  <c r="I7" i="8" s="1"/>
  <c r="F19" i="8"/>
  <c r="I19" i="8" s="1"/>
  <c r="I20" i="7"/>
  <c r="F11" i="7"/>
  <c r="I11" i="7" s="1"/>
  <c r="F15" i="7"/>
  <c r="I15" i="7" s="1"/>
  <c r="G14" i="7"/>
  <c r="J14" i="7" s="1"/>
  <c r="G8" i="7"/>
  <c r="J8" i="7" s="1"/>
  <c r="F16" i="7"/>
  <c r="I16" i="7" s="1"/>
  <c r="G20" i="7"/>
  <c r="J20" i="7" s="1"/>
  <c r="G21" i="1"/>
  <c r="J21" i="1" s="1"/>
  <c r="J8" i="1"/>
  <c r="F20" i="1"/>
  <c r="F13" i="1"/>
  <c r="F8" i="1"/>
  <c r="I8" i="1" s="1"/>
  <c r="F10" i="10" l="1"/>
  <c r="F14" i="10" s="1"/>
  <c r="E14" i="10"/>
  <c r="F10" i="2"/>
  <c r="F14" i="2" s="1"/>
  <c r="E14" i="2"/>
  <c r="I22" i="7"/>
  <c r="B6" i="5"/>
  <c r="B5" i="5"/>
  <c r="C5" i="5"/>
  <c r="C6" i="5"/>
  <c r="J20" i="8"/>
  <c r="J24" i="7" l="1"/>
  <c r="C5" i="3"/>
  <c r="E5" i="3" s="1"/>
  <c r="J24" i="8"/>
  <c r="C6" i="3"/>
  <c r="B5" i="3"/>
  <c r="C14" i="3" s="1"/>
  <c r="D14" i="3" s="1"/>
  <c r="E14" i="3" s="1"/>
  <c r="I20" i="8"/>
  <c r="B6" i="3" l="1"/>
  <c r="C15" i="3" s="1"/>
  <c r="D15" i="3" s="1"/>
  <c r="E15" i="3" s="1"/>
  <c r="J18" i="1"/>
  <c r="I18" i="1"/>
  <c r="I16" i="1"/>
  <c r="J16" i="1"/>
  <c r="I15" i="1"/>
  <c r="I22" i="1" s="1"/>
  <c r="J15" i="1"/>
  <c r="J22" i="1" s="1"/>
  <c r="G7" i="1" l="1"/>
  <c r="J7" i="1" s="1"/>
  <c r="F7" i="1"/>
  <c r="D6" i="2"/>
  <c r="E6" i="2" l="1"/>
  <c r="J13" i="1"/>
  <c r="I13" i="1"/>
  <c r="J11" i="1"/>
  <c r="I11" i="1"/>
  <c r="B4" i="5" l="1"/>
  <c r="F6" i="2"/>
  <c r="I10" i="1"/>
  <c r="J10" i="1"/>
  <c r="I7" i="1"/>
  <c r="B8" i="5" l="1"/>
  <c r="B9" i="5"/>
  <c r="C5" i="11" s="1"/>
  <c r="G5" i="11" s="1"/>
  <c r="J20" i="1"/>
  <c r="C4" i="3" s="1"/>
  <c r="C8" i="3" s="1"/>
  <c r="I20" i="1"/>
  <c r="B4" i="3" s="1"/>
  <c r="B8" i="3" s="1"/>
  <c r="C13" i="3" l="1"/>
  <c r="D13" i="3" s="1"/>
  <c r="J24" i="1"/>
  <c r="E6" i="3" s="1"/>
  <c r="C4" i="5"/>
  <c r="C9" i="5" l="1"/>
  <c r="C8" i="5"/>
  <c r="E13" i="3"/>
  <c r="D17" i="3"/>
  <c r="D18" i="3"/>
  <c r="D5" i="11"/>
  <c r="F5" i="11" s="1"/>
  <c r="H5" i="11" s="1"/>
  <c r="C17" i="3"/>
  <c r="C18" i="3"/>
  <c r="B9" i="3"/>
  <c r="C4" i="11" s="1"/>
  <c r="C9" i="3"/>
  <c r="D4" i="11" s="1"/>
  <c r="E4" i="3"/>
  <c r="E8" i="3" s="1"/>
  <c r="E18" i="3" l="1"/>
  <c r="E17" i="3"/>
  <c r="F4" i="11"/>
  <c r="D6" i="11"/>
  <c r="C6" i="11"/>
  <c r="G4" i="11"/>
  <c r="E9" i="3"/>
  <c r="H4" i="11" l="1"/>
  <c r="F6" i="11"/>
</calcChain>
</file>

<file path=xl/sharedStrings.xml><?xml version="1.0" encoding="utf-8"?>
<sst xmlns="http://schemas.openxmlformats.org/spreadsheetml/2006/main" count="399" uniqueCount="219">
  <si>
    <t>Labor Rates</t>
  </si>
  <si>
    <t>Management</t>
  </si>
  <si>
    <t>Technical</t>
  </si>
  <si>
    <t>Clerical</t>
  </si>
  <si>
    <t>Assumptions:</t>
  </si>
  <si>
    <t xml:space="preserve">Technical </t>
  </si>
  <si>
    <r>
      <t xml:space="preserve">TOTAL (rounded) </t>
    </r>
    <r>
      <rPr>
        <b/>
        <vertAlign val="superscript"/>
        <sz val="10"/>
        <rFont val="Times New Roman"/>
        <family val="1"/>
      </rPr>
      <t>h</t>
    </r>
  </si>
  <si>
    <t>Total</t>
  </si>
  <si>
    <t>Year</t>
  </si>
  <si>
    <t>Average</t>
  </si>
  <si>
    <t>(A)
Clerical hours per occurrence</t>
  </si>
  <si>
    <t>(B)
Technical hours per occurrence</t>
  </si>
  <si>
    <t>(C) 
Management hours per occurrence ([A+B]x0.05)</t>
  </si>
  <si>
    <t xml:space="preserve">(D)
Annual occurrences </t>
  </si>
  <si>
    <t>(E) 
Annual person hours ([A+B+C]xD)</t>
  </si>
  <si>
    <t>(F)
Labor cost/year</t>
  </si>
  <si>
    <t>(G)
Total number of respondents</t>
  </si>
  <si>
    <t>(I)
Total labor cost (FxG)</t>
  </si>
  <si>
    <t>A.  Units without existing monitoring</t>
  </si>
  <si>
    <t>B.  Units with existing monitoring</t>
  </si>
  <si>
    <t>B.  Units with exisiting monitoring</t>
  </si>
  <si>
    <t>5.  CAM Renewal</t>
  </si>
  <si>
    <t>6.  Prepare QIP</t>
  </si>
  <si>
    <t>7.  Records of Corrective Actions</t>
  </si>
  <si>
    <t>A.  PSEUs with instrumental systems</t>
  </si>
  <si>
    <t>B.  PSEUs using work practices</t>
  </si>
  <si>
    <t>8.  Reporting of Corrective Actions</t>
  </si>
  <si>
    <t>(H)
Total hours/year (ExG)</t>
  </si>
  <si>
    <t>(B) 
Occurrences per year</t>
  </si>
  <si>
    <t>(C) 
Technical hours per year (AxB)</t>
  </si>
  <si>
    <t>(D) 
Management hours per year (Cx0.05)</t>
  </si>
  <si>
    <t>1. CAM Activities</t>
  </si>
  <si>
    <t>B. Determine applicability</t>
  </si>
  <si>
    <t>2. Initial CAM Review</t>
  </si>
  <si>
    <t>A. Units without existing monitoring</t>
  </si>
  <si>
    <t>B. Units with existing monitoring</t>
  </si>
  <si>
    <t>3. Evaluate CAM Renewals</t>
  </si>
  <si>
    <t>4. Review QIPs</t>
  </si>
  <si>
    <t>5. Review Reports of Corrective Actions</t>
  </si>
  <si>
    <t>6. Review Annual Facility Certifications</t>
  </si>
  <si>
    <t>Table 6.2a: Total Permitting Authority Burden and Labor Costs for All "Large" and "Other" Sources - All Pollutants, 2023-24</t>
  </si>
  <si>
    <t>Table 6.2b: Total Permitting Authority Burden and Labor Costs for All "Large" and "Other" Sources - All Pollutants, 2024-25</t>
  </si>
  <si>
    <t>Table 6.2c: Total Permitting Authority Burden and Labor Costs for All "Large" and "Other" Sources - All Pollutants, 2025-26</t>
  </si>
  <si>
    <t>Table 6.4: Average Source Burden and Labor Costs for All "Large" and "Other" Sources - All Pollutants</t>
  </si>
  <si>
    <t>Annual Total Hours</t>
  </si>
  <si>
    <t>Annual Labor Cost</t>
  </si>
  <si>
    <t>Annual Capital &amp; O&amp;M Cost</t>
  </si>
  <si>
    <t>Total Annual Cost</t>
  </si>
  <si>
    <t>2023 - 24</t>
  </si>
  <si>
    <t>2024 - 25</t>
  </si>
  <si>
    <t>2025 - 26</t>
  </si>
  <si>
    <t># PSEUs Subject to CAM</t>
  </si>
  <si>
    <t>Hours per PSEU</t>
  </si>
  <si>
    <t>Table 6.5: Average Permitting Authority Burden and Labor Costs for All "Large" and "Other" Sources - All Pollutants</t>
  </si>
  <si>
    <t>CAM Activities</t>
  </si>
  <si>
    <t>Annual Burden</t>
  </si>
  <si>
    <t>Three Year Total</t>
  </si>
  <si>
    <t>Technical Hours</t>
  </si>
  <si>
    <t>Management Hours</t>
  </si>
  <si>
    <t>Total Hours</t>
  </si>
  <si>
    <t>Annual Cost</t>
  </si>
  <si>
    <t>Table 6.6: Total Estimated Respondent Burden and Cost Summary</t>
  </si>
  <si>
    <t>Type of respondent</t>
  </si>
  <si>
    <t>Average annual number of respondents</t>
  </si>
  <si>
    <t>Average annual labor hours</t>
  </si>
  <si>
    <t>Average annual labor cost</t>
  </si>
  <si>
    <t>Average annual capital and O&amp;M cost</t>
  </si>
  <si>
    <t>Average total annual cost</t>
  </si>
  <si>
    <t>Average annual labor hours per respondent</t>
  </si>
  <si>
    <t>Average annual cost per respondent</t>
  </si>
  <si>
    <r>
      <t xml:space="preserve">Sources </t>
    </r>
    <r>
      <rPr>
        <vertAlign val="superscript"/>
        <sz val="11"/>
        <color theme="1"/>
        <rFont val="Calibri"/>
        <family val="2"/>
        <scheme val="minor"/>
      </rPr>
      <t>a</t>
    </r>
  </si>
  <si>
    <t>PAs</t>
  </si>
  <si>
    <r>
      <t xml:space="preserve">Hours </t>
    </r>
    <r>
      <rPr>
        <vertAlign val="superscript"/>
        <sz val="10"/>
        <color theme="1"/>
        <rFont val="Times New Roman"/>
        <family val="1"/>
      </rPr>
      <t>a</t>
    </r>
    <r>
      <rPr>
        <sz val="10"/>
        <color theme="1"/>
        <rFont val="Times New Roman"/>
        <family val="1"/>
      </rPr>
      <t xml:space="preserve"> and Costs </t>
    </r>
    <r>
      <rPr>
        <vertAlign val="superscript"/>
        <sz val="10"/>
        <color theme="1"/>
        <rFont val="Times New Roman"/>
        <family val="1"/>
      </rPr>
      <t>b</t>
    </r>
    <r>
      <rPr>
        <sz val="10"/>
        <color theme="1"/>
        <rFont val="Times New Roman"/>
        <family val="1"/>
      </rPr>
      <t xml:space="preserve"> Per Respondents</t>
    </r>
  </si>
  <si>
    <r>
      <t xml:space="preserve">Burden Item </t>
    </r>
    <r>
      <rPr>
        <vertAlign val="superscript"/>
        <sz val="10"/>
        <color theme="1"/>
        <rFont val="Times New Roman"/>
        <family val="1"/>
      </rPr>
      <t>c</t>
    </r>
  </si>
  <si>
    <r>
      <t xml:space="preserve">1.  Review Requirements </t>
    </r>
    <r>
      <rPr>
        <vertAlign val="superscript"/>
        <sz val="10"/>
        <color theme="1"/>
        <rFont val="Times New Roman"/>
        <family val="1"/>
      </rPr>
      <t>d</t>
    </r>
  </si>
  <si>
    <r>
      <t xml:space="preserve">2.  Determine Monitoring Approach </t>
    </r>
    <r>
      <rPr>
        <vertAlign val="superscript"/>
        <sz val="10"/>
        <color theme="1"/>
        <rFont val="Times New Roman"/>
        <family val="1"/>
      </rPr>
      <t>e</t>
    </r>
  </si>
  <si>
    <r>
      <t xml:space="preserve">3.  Specify Monitoring Plan Elements </t>
    </r>
    <r>
      <rPr>
        <vertAlign val="superscript"/>
        <sz val="10"/>
        <color theme="1"/>
        <rFont val="Times New Roman"/>
        <family val="1"/>
      </rPr>
      <t>e</t>
    </r>
  </si>
  <si>
    <r>
      <t xml:space="preserve">4.  Design Documentation </t>
    </r>
    <r>
      <rPr>
        <vertAlign val="superscript"/>
        <sz val="10"/>
        <color theme="1"/>
        <rFont val="Times New Roman"/>
        <family val="1"/>
      </rPr>
      <t>e</t>
    </r>
  </si>
  <si>
    <r>
      <t xml:space="preserve">9.  Facility Certification </t>
    </r>
    <r>
      <rPr>
        <vertAlign val="superscript"/>
        <sz val="10"/>
        <color theme="1"/>
        <rFont val="Times New Roman"/>
        <family val="1"/>
      </rPr>
      <t>f</t>
    </r>
  </si>
  <si>
    <r>
      <t xml:space="preserve">Total Labor Burden and Costs (rounded) </t>
    </r>
    <r>
      <rPr>
        <b/>
        <vertAlign val="superscript"/>
        <sz val="10"/>
        <rFont val="Times New Roman"/>
        <family val="1"/>
      </rPr>
      <t>g</t>
    </r>
  </si>
  <si>
    <r>
      <t>Total Capital and O&amp;M Cost (rounded)</t>
    </r>
    <r>
      <rPr>
        <b/>
        <vertAlign val="superscript"/>
        <sz val="10"/>
        <rFont val="Times New Roman"/>
        <family val="1"/>
      </rPr>
      <t xml:space="preserve"> g</t>
    </r>
  </si>
  <si>
    <r>
      <t xml:space="preserve">GRAND TOTAL (rounded) </t>
    </r>
    <r>
      <rPr>
        <b/>
        <vertAlign val="superscript"/>
        <sz val="10"/>
        <rFont val="Times New Roman"/>
        <family val="1"/>
      </rPr>
      <t>g</t>
    </r>
  </si>
  <si>
    <r>
      <t>a</t>
    </r>
    <r>
      <rPr>
        <sz val="10"/>
        <rFont val="Times New Roman"/>
        <family val="1"/>
      </rPr>
      <t xml:space="preserve">  All hours are per PSEU unless otherwise noted.</t>
    </r>
  </si>
  <si>
    <r>
      <t>c</t>
    </r>
    <r>
      <rPr>
        <sz val="10"/>
        <rFont val="Times New Roman"/>
        <family val="1"/>
      </rPr>
      <t xml:space="preserve">  See section 4(b)(ii) for a description of these activities.</t>
    </r>
  </si>
  <si>
    <r>
      <t xml:space="preserve">d </t>
    </r>
    <r>
      <rPr>
        <sz val="10"/>
        <rFont val="Times New Roman"/>
        <family val="1"/>
      </rPr>
      <t xml:space="preserve"> Hours are per facility, not per PSEU; number of respondents are facilities, not PSEUs</t>
    </r>
  </si>
  <si>
    <r>
      <t>e</t>
    </r>
    <r>
      <rPr>
        <sz val="10"/>
        <rFont val="Times New Roman"/>
        <family val="1"/>
      </rPr>
      <t xml:space="preserve">  One-time activity.</t>
    </r>
  </si>
  <si>
    <r>
      <t>f</t>
    </r>
    <r>
      <rPr>
        <sz val="10"/>
        <rFont val="Times New Roman"/>
        <family val="1"/>
      </rPr>
      <t xml:space="preserve">  3 hours per facility converted to impact per PSEU by dividing by the average number of PSEUs per facility with at least one PSEU (4.27).</t>
    </r>
  </si>
  <si>
    <r>
      <t>g</t>
    </r>
    <r>
      <rPr>
        <sz val="10"/>
        <rFont val="Times New Roman"/>
        <family val="1"/>
      </rPr>
      <t xml:space="preserve"> Totals have been rounded to 3 significant figures. Figures may not add exactly due to rounding.</t>
    </r>
  </si>
  <si>
    <r>
      <t xml:space="preserve">d </t>
    </r>
    <r>
      <rPr>
        <sz val="10"/>
        <rFont val="Times New Roman"/>
        <family val="1"/>
      </rPr>
      <t xml:space="preserve"> Hours are per facility, not per PSEU; number of respondents are facilities, not PSEUs.</t>
    </r>
  </si>
  <si>
    <r>
      <t xml:space="preserve">Burden item </t>
    </r>
    <r>
      <rPr>
        <vertAlign val="superscript"/>
        <sz val="10"/>
        <rFont val="Times New Roman"/>
        <family val="1"/>
      </rPr>
      <t>a</t>
    </r>
  </si>
  <si>
    <r>
      <t xml:space="preserve">(A)
Technical hours per occurrence </t>
    </r>
    <r>
      <rPr>
        <vertAlign val="superscript"/>
        <sz val="10"/>
        <rFont val="Times New Roman"/>
        <family val="1"/>
      </rPr>
      <t>b</t>
    </r>
  </si>
  <si>
    <r>
      <t xml:space="preserve">(E) 
Total cost per year </t>
    </r>
    <r>
      <rPr>
        <vertAlign val="superscript"/>
        <sz val="10"/>
        <rFont val="Times New Roman"/>
        <family val="1"/>
      </rPr>
      <t>c</t>
    </r>
  </si>
  <si>
    <r>
      <t xml:space="preserve">A. Rule familiarization </t>
    </r>
    <r>
      <rPr>
        <vertAlign val="superscript"/>
        <sz val="10"/>
        <color theme="1"/>
        <rFont val="Times New Roman"/>
        <family val="1"/>
      </rPr>
      <t>d</t>
    </r>
  </si>
  <si>
    <r>
      <t>a</t>
    </r>
    <r>
      <rPr>
        <sz val="10"/>
        <rFont val="Times New Roman"/>
        <family val="1"/>
      </rPr>
      <t xml:space="preserve">  See section 4(b)(ii) for a description of these activities.</t>
    </r>
  </si>
  <si>
    <r>
      <t>b</t>
    </r>
    <r>
      <rPr>
        <sz val="10"/>
        <rFont val="Times New Roman"/>
        <family val="1"/>
      </rPr>
      <t xml:space="preserve">  All hours are per PSEU unless otherwise noted.</t>
    </r>
  </si>
  <si>
    <r>
      <t>d</t>
    </r>
    <r>
      <rPr>
        <sz val="10"/>
        <rFont val="Times New Roman"/>
        <family val="1"/>
      </rPr>
      <t xml:space="preserve">  Burden for Rule Familiarization is per Permitting Authority (PA), of which there are 117. Because this is a mature program, PAs are generally familiar with the CAM Rule, but we include 12 hours/year per PA for new staff to become familiar with the rule.</t>
    </r>
  </si>
  <si>
    <r>
      <t>e</t>
    </r>
    <r>
      <rPr>
        <sz val="10"/>
        <rFont val="Times New Roman"/>
        <family val="1"/>
      </rPr>
      <t xml:space="preserve">  Totals have been rounded to 3 significant figures. Figures may not add exactly due to rounding.</t>
    </r>
  </si>
  <si>
    <r>
      <t xml:space="preserve">TOTAL (rounded) </t>
    </r>
    <r>
      <rPr>
        <b/>
        <vertAlign val="superscript"/>
        <sz val="10"/>
        <rFont val="Times New Roman"/>
        <family val="1"/>
      </rPr>
      <t>e</t>
    </r>
  </si>
  <si>
    <r>
      <t xml:space="preserve">Rule Familiarzation </t>
    </r>
    <r>
      <rPr>
        <vertAlign val="superscript"/>
        <sz val="10"/>
        <color rgb="FF000000"/>
        <rFont val="Times New Roman"/>
        <family val="1"/>
      </rPr>
      <t>a</t>
    </r>
  </si>
  <si>
    <r>
      <t xml:space="preserve">Review CAM Plans </t>
    </r>
    <r>
      <rPr>
        <vertAlign val="superscript"/>
        <sz val="10"/>
        <color rgb="FF000000"/>
        <rFont val="Times New Roman"/>
        <family val="1"/>
      </rPr>
      <t>a</t>
    </r>
  </si>
  <si>
    <r>
      <rPr>
        <vertAlign val="superscript"/>
        <sz val="11"/>
        <color theme="1"/>
        <rFont val="Calibri"/>
        <family val="2"/>
        <scheme val="minor"/>
      </rPr>
      <t>a</t>
    </r>
    <r>
      <rPr>
        <sz val="11"/>
        <color theme="1"/>
        <rFont val="Calibri"/>
        <family val="2"/>
        <scheme val="minor"/>
      </rPr>
      <t xml:space="preserve"> We assumed 0.1 FTEs, or 200 hours per region per year; 200 hours/region * 10 regions = 2,000 hours/yr. We assumed the majority of the time is spent reviewing CAM plans; some time was allocated to Rule familiarization for new staff.</t>
    </r>
  </si>
  <si>
    <t>Table 6.2c: Federal Labor Hours and Costs for All "Large" and "Other" Sources - All Pollutants, 2024-26</t>
  </si>
  <si>
    <r>
      <t xml:space="preserve">Hours per Facility </t>
    </r>
    <r>
      <rPr>
        <b/>
        <vertAlign val="superscript"/>
        <sz val="10"/>
        <color theme="1"/>
        <rFont val="Times New Roman"/>
        <family val="1"/>
      </rPr>
      <t>a</t>
    </r>
  </si>
  <si>
    <r>
      <rPr>
        <vertAlign val="superscript"/>
        <sz val="10"/>
        <color theme="1"/>
        <rFont val="Calibri"/>
        <family val="2"/>
        <scheme val="minor"/>
      </rPr>
      <t>a</t>
    </r>
    <r>
      <rPr>
        <sz val="10"/>
        <color theme="1"/>
        <rFont val="Calibri"/>
        <family val="2"/>
        <scheme val="minor"/>
      </rPr>
      <t xml:space="preserve"> Assumes 4.27 PSEUs per facility</t>
    </r>
  </si>
  <si>
    <r>
      <rPr>
        <vertAlign val="superscript"/>
        <sz val="11"/>
        <color theme="1"/>
        <rFont val="Calibri"/>
        <family val="2"/>
        <scheme val="minor"/>
      </rPr>
      <t>a</t>
    </r>
    <r>
      <rPr>
        <sz val="11"/>
        <color theme="1"/>
        <rFont val="Calibri"/>
        <family val="2"/>
        <scheme val="minor"/>
      </rPr>
      <t xml:space="preserve"> For sources, the number of respondents is the number of PSEUs subject to the CAM Rule. There are an average of 4.27 affected PSEUs per facility with at least one PSEU.</t>
    </r>
  </si>
  <si>
    <t>l This column includes PSEUs for which records of corrective actions under a QIP must be kept. We assume a rate in each year of 0.04% of all PSEUs subject to CAM, both existing and new.</t>
  </si>
  <si>
    <t>k This column includes the PSEUs for which QIPs must be prepared. We assume that this is a one-time activity and that in each year QIPs are prepared for 0.04% of the total population of PSEUs, both existing and new.</t>
  </si>
  <si>
    <t>j This column includes PSEUs at facilities renewing existing title V permits, which have a 5-year term. Thus, about 20% of permits are renewed each year, or 10% each 6-month period. These renewals are for permits issued in 2009, 2010, and 2011, so the new PSEUs added during the period of this ICR do not figure in.</t>
  </si>
  <si>
    <t>Initiate work practices - 0.31</t>
  </si>
  <si>
    <t>Upgrade existing work practices - 0.472</t>
  </si>
  <si>
    <t>Acceptable existing work practices - 0.218</t>
  </si>
  <si>
    <t>i These columns apportion the number of Other PSEUs in Column P according to the following fractions. THESE COLUMNS ARE VESTIGES OF THE 2008 RIA AND PREVIOUS ICRs AND ARE NO LONGER USED IN ICR CALCULATIONS.</t>
  </si>
  <si>
    <t>Install a CEM or COM - 0</t>
  </si>
  <si>
    <t>Install a VOC parametric monitor - 0.120</t>
  </si>
  <si>
    <t>Install an SO2 parametric monitor - 0.045</t>
  </si>
  <si>
    <t>Install a PM parametric monitor - 0.154</t>
  </si>
  <si>
    <t>Install a NOx parametric monitor - 0</t>
  </si>
  <si>
    <t>Install a CO parametric monitor - 0.244</t>
  </si>
  <si>
    <t>Upgrade existing instrumental system - 0.347</t>
  </si>
  <si>
    <t>Acceptable existing system - 0.090</t>
  </si>
  <si>
    <t>h These columns apportion the number of Large PSEUs in Column P according to the following fractions. THESE COLUMNS ARE VESTIGES OF THE 2008 RIA AND PREVIOUS ICRs AND ARE NO LONGER USED IN ICR CALCULATIONS.</t>
  </si>
  <si>
    <t>g The existing Large and Other PSEUs are included in the counts with the new facilities. We assume 2,927 existing Large PSEUs and 19,780 existing Other PSEUs based on the number of existing title V permits in Year 2 of the ICR for part 70 (2014) and the factors developed for the 2008 RIA (see footnote b). See the comments in some cells in this column for additional information.</t>
  </si>
  <si>
    <t>f All the columns under "Perform Monitoring" include the cumulative number of PSEUs in each category, that is, all the existing PSEUs that were in the CAM Program at the beginning of this ICR period plus all the new ones coming in during the period. THESE NUMBERS ARE NO LONGER USED TO CALCULATE CAM BURDEN UNDER THE ASSUMPTION THAT THIS BURDEN IS INCLUDED IN THE PART 70 ICR.</t>
  </si>
  <si>
    <t xml:space="preserve">e Assume no PSEUs have CEMs or COMs, so PSEUs in "Justification" and "Specify Monitoring Elements" Non-CEM/COM columns are the same as for "Determine Approach" with and without existing monitoring </t>
  </si>
  <si>
    <t>d Fraction of Large PSEUs without existing monitoring = 0.563; with existing monitoring = 0.437. Fraction of Other PSEUs without existing monitoring = 0.31; with existing monitoring = 0.69</t>
  </si>
  <si>
    <t>c Assume that this is a one-time task, which only newly permitted facilities must carry out; existing facilities that are adding PSEUs are already familiar with the CAM requirements. The new permits in each period considered for Large (rows 32-37)  and Other (rows 46-51) PSEUs are the same permits, so the review task only needs to be incuded once (here in rows 32-37).</t>
  </si>
  <si>
    <t>Ac is the percent of PSEUs in Category c that are projected to be subject to CAM. For Large PSEUs = 53.8%; for Other PSEUs = 53.6%</t>
  </si>
  <si>
    <t>Pc is the number of Category c PSEUs expected to be constructed at a facility that has at least one Category c PSEU. For new facilities, Pc is 3.15 for Large PSEUs and 7.06 for Other PSEUs. For existing facilities adding new PSEUs Pc is 1 for both Large and Other PSEUs</t>
  </si>
  <si>
    <t>Sc is the percent of sources expected to construct at least one new PSEU in Category c. For Large PSEUs = 11.5%; for Other PSEUs = 34.8%</t>
  </si>
  <si>
    <t>RS is the number of relevant title V permits nationwide</t>
  </si>
  <si>
    <t>Pc,t is the number of PSEUs in Category c expected to become subject to CAM at a given time. The Categories are Large PSEUs and Other PSEUs.</t>
  </si>
  <si>
    <t>Pc,t = RS * Sc * Pc * Ac</t>
  </si>
  <si>
    <t>b Derived based on Equations IV-1 and IV-2 in the 2008 RIA. Differs by not converting number of permits nationwide to the number in the 9 sample states as was done in the 2008 RIA (i.e., excluded factor SS = 0.214).</t>
  </si>
  <si>
    <t>a Assume 100 new facilities obtaining title V permits each year nationwide; thus, 50 each 6-month period. Assume 230 existing facilitities nationwide revise their title V permits to add new PSEUs each year; thus, 115 each 6-month period.</t>
  </si>
  <si>
    <t>All</t>
  </si>
  <si>
    <t>at exitisting facilities</t>
  </si>
  <si>
    <t>Other PSEUs added</t>
  </si>
  <si>
    <t xml:space="preserve">at new facilities </t>
  </si>
  <si>
    <t>Other PSEUs</t>
  </si>
  <si>
    <t>Large PSEUs added</t>
  </si>
  <si>
    <t>at new facilities</t>
  </si>
  <si>
    <t>Large PSEUs</t>
  </si>
  <si>
    <t>VOC</t>
  </si>
  <si>
    <t>SO2</t>
  </si>
  <si>
    <t>PM</t>
  </si>
  <si>
    <t>NOx</t>
  </si>
  <si>
    <t>CO</t>
  </si>
  <si>
    <t>CEM/COM response</t>
  </si>
  <si>
    <t>Non-CEM/COM response</t>
  </si>
  <si>
    <r>
      <t>Records - WPs</t>
    </r>
    <r>
      <rPr>
        <vertAlign val="superscript"/>
        <sz val="11"/>
        <color theme="1"/>
        <rFont val="Calibri"/>
        <family val="2"/>
        <scheme val="minor"/>
      </rPr>
      <t>l</t>
    </r>
  </si>
  <si>
    <r>
      <t>Records - Instr. Systems</t>
    </r>
    <r>
      <rPr>
        <vertAlign val="superscript"/>
        <sz val="11"/>
        <color theme="1"/>
        <rFont val="Calibri"/>
        <family val="2"/>
        <scheme val="minor"/>
      </rPr>
      <t>l</t>
    </r>
  </si>
  <si>
    <r>
      <t># PSEUs for which QIP Prepared</t>
    </r>
    <r>
      <rPr>
        <vertAlign val="superscript"/>
        <sz val="11"/>
        <color theme="1"/>
        <rFont val="Calibri"/>
        <family val="2"/>
        <scheme val="minor"/>
      </rPr>
      <t>k</t>
    </r>
  </si>
  <si>
    <r>
      <t># PSEUs</t>
    </r>
    <r>
      <rPr>
        <vertAlign val="superscript"/>
        <sz val="11"/>
        <color theme="1"/>
        <rFont val="Calibri"/>
        <family val="2"/>
        <scheme val="minor"/>
      </rPr>
      <t>j</t>
    </r>
  </si>
  <si>
    <r>
      <t>Initiate WP</t>
    </r>
    <r>
      <rPr>
        <vertAlign val="superscript"/>
        <sz val="11"/>
        <color theme="1"/>
        <rFont val="Calibri"/>
        <family val="2"/>
        <scheme val="minor"/>
      </rPr>
      <t>i</t>
    </r>
  </si>
  <si>
    <r>
      <t>Upgrade WP</t>
    </r>
    <r>
      <rPr>
        <vertAlign val="superscript"/>
        <sz val="11"/>
        <color theme="1"/>
        <rFont val="Calibri"/>
        <family val="2"/>
        <scheme val="minor"/>
      </rPr>
      <t>i</t>
    </r>
  </si>
  <si>
    <r>
      <t>Acceptable Systems</t>
    </r>
    <r>
      <rPr>
        <vertAlign val="superscript"/>
        <sz val="11"/>
        <color theme="1"/>
        <rFont val="Calibri"/>
        <family val="2"/>
        <scheme val="minor"/>
      </rPr>
      <t>i</t>
    </r>
  </si>
  <si>
    <r>
      <t>Install CEM/COM</t>
    </r>
    <r>
      <rPr>
        <vertAlign val="superscript"/>
        <sz val="11"/>
        <color theme="1"/>
        <rFont val="Calibri"/>
        <family val="2"/>
        <scheme val="minor"/>
      </rPr>
      <t>h</t>
    </r>
  </si>
  <si>
    <r>
      <t>Install Parameter Monitor</t>
    </r>
    <r>
      <rPr>
        <vertAlign val="superscript"/>
        <sz val="11"/>
        <color theme="1"/>
        <rFont val="Calibri"/>
        <family val="2"/>
        <scheme val="minor"/>
      </rPr>
      <t>h</t>
    </r>
  </si>
  <si>
    <r>
      <t>Upgrade Instr. Systems</t>
    </r>
    <r>
      <rPr>
        <vertAlign val="superscript"/>
        <sz val="11"/>
        <color theme="1"/>
        <rFont val="Calibri"/>
        <family val="2"/>
        <scheme val="minor"/>
      </rPr>
      <t>h</t>
    </r>
  </si>
  <si>
    <r>
      <t>Acceptable Systems</t>
    </r>
    <r>
      <rPr>
        <vertAlign val="superscript"/>
        <sz val="11"/>
        <color theme="1"/>
        <rFont val="Calibri"/>
        <family val="2"/>
        <scheme val="minor"/>
      </rPr>
      <t>h</t>
    </r>
  </si>
  <si>
    <r>
      <t># PSEUs</t>
    </r>
    <r>
      <rPr>
        <vertAlign val="superscript"/>
        <sz val="11"/>
        <color theme="1"/>
        <rFont val="Calibri"/>
        <family val="2"/>
        <scheme val="minor"/>
      </rPr>
      <t>g</t>
    </r>
  </si>
  <si>
    <t># PSEUs w/ex mon</t>
  </si>
  <si>
    <t># PSEUs w/o ex mon</t>
  </si>
  <si>
    <r>
      <t># Facilities</t>
    </r>
    <r>
      <rPr>
        <vertAlign val="superscript"/>
        <sz val="11"/>
        <color theme="1"/>
        <rFont val="Calibri"/>
        <family val="2"/>
        <scheme val="minor"/>
      </rPr>
      <t>c</t>
    </r>
  </si>
  <si>
    <r>
      <t># PSEUs</t>
    </r>
    <r>
      <rPr>
        <vertAlign val="superscript"/>
        <sz val="11"/>
        <color theme="1"/>
        <rFont val="Calibri"/>
        <family val="2"/>
        <scheme val="minor"/>
      </rPr>
      <t>b</t>
    </r>
  </si>
  <si>
    <r>
      <t># Title V Permits</t>
    </r>
    <r>
      <rPr>
        <vertAlign val="superscript"/>
        <sz val="11"/>
        <color theme="1"/>
        <rFont val="Calibri"/>
        <family val="2"/>
        <scheme val="minor"/>
      </rPr>
      <t>a</t>
    </r>
  </si>
  <si>
    <t>QIPs</t>
  </si>
  <si>
    <t>Renewals - existing PSEUs</t>
  </si>
  <si>
    <r>
      <t>Perform Monitoring - cumulative existing and new PSEUs</t>
    </r>
    <r>
      <rPr>
        <vertAlign val="superscript"/>
        <sz val="11"/>
        <color theme="1"/>
        <rFont val="Calibri"/>
        <family val="2"/>
        <scheme val="minor"/>
      </rPr>
      <t>f</t>
    </r>
  </si>
  <si>
    <t>Specify Monitoring Elements - new PSEUse</t>
  </si>
  <si>
    <r>
      <t>Justification - new PSEUs</t>
    </r>
    <r>
      <rPr>
        <vertAlign val="superscript"/>
        <sz val="11"/>
        <color theme="1"/>
        <rFont val="Calibri"/>
        <family val="2"/>
        <scheme val="minor"/>
      </rPr>
      <t>e</t>
    </r>
  </si>
  <si>
    <r>
      <t>Determine Approach - 
new PSEUs</t>
    </r>
    <r>
      <rPr>
        <vertAlign val="superscript"/>
        <sz val="11"/>
        <color theme="1"/>
        <rFont val="Calibri"/>
        <family val="2"/>
        <scheme val="minor"/>
      </rPr>
      <t>d</t>
    </r>
  </si>
  <si>
    <t>Review Requirements - 
new facilities</t>
  </si>
  <si>
    <t>Monitoring Approach Submission - 
new PSEUs</t>
  </si>
  <si>
    <t>Nationwide New Permits Issued OR Permits Revised to Add PSEUs</t>
  </si>
  <si>
    <t>Date</t>
  </si>
  <si>
    <t>Numbers of Facilities &amp; PSEUs</t>
  </si>
  <si>
    <t>affected PSEUs per facility with at least one PSEU (derived from 2008 RIA data)</t>
  </si>
  <si>
    <t>affected PSEUs per title V permit (including GHG-only title V permits)</t>
  </si>
  <si>
    <t>Total =</t>
  </si>
  <si>
    <t>Other PSEUs =</t>
  </si>
  <si>
    <t>See footnote b for the factors used to derive the number of existing affected Large and Other PSEUs from the number of title V permits.</t>
  </si>
  <si>
    <t>Large PSEUs =</t>
  </si>
  <si>
    <t>Applicable permits =</t>
  </si>
  <si>
    <t>230 existing facilities add new PSEUs each year nationwide - 115 per 6-month period</t>
  </si>
  <si>
    <t>100 new facilities get title V permits each year nationwide - 50 per 6-month period</t>
  </si>
  <si>
    <t>(3) Quality Improvement plans (QIPs) are required for 0.04% of all PSEUs each year, along with associated recordkeeping and reporting.</t>
  </si>
  <si>
    <t>(1) Initial CAM implementation is complete - all existing PSEUs at existing facilities came into the program during a title V permit renewal prior to this ICR. All these PSEUs previously submitted CAM plans and have implemented monitoring. Thus, the only PSEUs now entering the CAM program are new PSEUs at new facilities and new PSEUs constructed at existing facilities.</t>
  </si>
  <si>
    <t>Assumptions</t>
  </si>
  <si>
    <t>Permitting Authority Labor Rates (2023$) (ii)</t>
  </si>
  <si>
    <t>2023-24</t>
  </si>
  <si>
    <t>2024-25</t>
  </si>
  <si>
    <t>2025-26</t>
  </si>
  <si>
    <t>Table 6.1a: Total Source Burden and Labor Costs for All "Large" and "Other" Sources - All Pollutants, 2023-24</t>
  </si>
  <si>
    <t>Table 6.1c: Total Source Burden and Labor Costs for All "Large" and "Other" Sources - All Pollutants, 2025-26</t>
  </si>
  <si>
    <t>Table 6.1b: Total Source Burden and Labor Costs for All "Large" and "Other" Sources - All Pollutants, 2024-25</t>
  </si>
  <si>
    <t>Industry Labor Rates (2022$) (i)</t>
  </si>
  <si>
    <t>(i)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</si>
  <si>
    <t>(2) Ongoing recordkeeping and reporting for CAM are required under title V and impose no burden attributable to the CAM program.</t>
  </si>
  <si>
    <t xml:space="preserve">(ii)  The cost is based on the following labor rates: Managerial rate of $73.46 (GS-13, Step 5, $45.91 + 60%) and Technical rate of $54.51 (GS-12, Step 1, $34.07 + 60%).  These rates are from the Office of Personnel Management (OPM), 2023 General Schedule, which excludes locality, rates of pay. The rates have been increased by 60 percent to account for the benefit packages available to government employees. </t>
  </si>
  <si>
    <r>
      <t>b</t>
    </r>
    <r>
      <rPr>
        <sz val="10"/>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</si>
  <si>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c  </t>
    </r>
    <r>
      <rPr>
        <sz val="10"/>
        <rFont val="Times New Roman"/>
        <family val="1"/>
      </rPr>
      <t>The cost is based on the following labor rates: Managerial rate of $73.46 (GS-13, Step 5, $45.91 + 60%) and Technical rate of $54.51 (GS-12, Step 1, $34.07 + 60%).  These rates are from the Office of Personnel Management (OPM), 2023 General Schedule, which excludes locality, rates of pay. The rates have been increased by 60 percent to account for the benefit packages available to government employees.</t>
    </r>
  </si>
  <si>
    <r>
      <t>Annual Cost</t>
    </r>
    <r>
      <rPr>
        <vertAlign val="superscript"/>
        <sz val="10"/>
        <color rgb="FF000000"/>
        <rFont val="Times New Roman"/>
        <family val="1"/>
      </rPr>
      <t xml:space="preserve"> b</t>
    </r>
  </si>
  <si>
    <r>
      <t xml:space="preserve">Total Cost and Burden (rounded) </t>
    </r>
    <r>
      <rPr>
        <b/>
        <vertAlign val="superscript"/>
        <sz val="10"/>
        <color rgb="FF000000"/>
        <rFont val="Times New Roman"/>
        <family val="1"/>
      </rPr>
      <t>c</t>
    </r>
  </si>
  <si>
    <r>
      <rPr>
        <vertAlign val="superscript"/>
        <sz val="11"/>
        <color theme="1"/>
        <rFont val="Calibri"/>
        <family val="2"/>
        <scheme val="minor"/>
      </rPr>
      <t xml:space="preserve">b </t>
    </r>
    <r>
      <rPr>
        <sz val="11"/>
        <color theme="1"/>
        <rFont val="Calibri"/>
        <family val="2"/>
        <scheme val="minor"/>
      </rPr>
      <t>The cost is based on the following labor rates: Managerial rate of $73.46 (GS-13, Step 5, $45.91 + 60%) and Technical rate of $54.51 (GS-12, Step 1, $34.07 + 60%).  These rates are from the Office of Personnel Management (OPM), 2023 General Schedule, which excludes locality, rates of pay. The rates have been increased by 60 percent to account for the benefit packages available to government employees.</t>
    </r>
  </si>
  <si>
    <r>
      <rPr>
        <vertAlign val="superscript"/>
        <sz val="11"/>
        <color theme="1"/>
        <rFont val="Calibri"/>
        <family val="2"/>
        <scheme val="minor"/>
      </rPr>
      <t>c</t>
    </r>
    <r>
      <rPr>
        <sz val="11"/>
        <color theme="1"/>
        <rFont val="Calibri"/>
        <family val="2"/>
        <scheme val="minor"/>
      </rPr>
      <t xml:space="preserve"> Totals have been rounded to 3 significant figures. Figures may not add exactly due to rounding.</t>
    </r>
  </si>
  <si>
    <r>
      <t>Total (rounded)</t>
    </r>
    <r>
      <rPr>
        <b/>
        <vertAlign val="superscript"/>
        <sz val="11"/>
        <color theme="1"/>
        <rFont val="Calibri"/>
        <family val="2"/>
        <scheme val="minor"/>
      </rPr>
      <t xml:space="preserve"> b</t>
    </r>
  </si>
  <si>
    <r>
      <rPr>
        <vertAlign val="superscript"/>
        <sz val="11"/>
        <color theme="1"/>
        <rFont val="Calibri"/>
        <family val="2"/>
        <scheme val="minor"/>
      </rPr>
      <t>b</t>
    </r>
    <r>
      <rPr>
        <sz val="11"/>
        <color theme="1"/>
        <rFont val="Calibri"/>
        <family val="2"/>
        <scheme val="minor"/>
      </rPr>
      <t xml:space="preserve"> Totals have been rounded to 3 significant figures. Figures may not add exactly due to rounding.</t>
    </r>
  </si>
  <si>
    <t>Existing PSEUs in the CAM program nationwide, calculated based on the number of applicable title V permits in Year 2 of the ICR for part 70 (2019):</t>
  </si>
  <si>
    <t>ICR Summary Information</t>
  </si>
  <si>
    <t>Number of Respondents</t>
  </si>
  <si>
    <t>Total Estimated Burden Hours</t>
  </si>
  <si>
    <t>Total Estimated Costs</t>
  </si>
  <si>
    <t>Annualized Capital O&amp;M</t>
  </si>
  <si>
    <t>Form Number</t>
  </si>
  <si>
    <t>One per PSEU; 36 per PA</t>
  </si>
  <si>
    <t>Not Applicable</t>
  </si>
  <si>
    <t>Hours per Respondent</t>
  </si>
  <si>
    <t>Total Number of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</si>
</sst>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
    <numFmt numFmtId="167" formatCode="0.0"/>
    <numFmt numFmtId="168" formatCode="_(* #,##0_);_(* \(#,##0\);_(* &quot;-&quot;??_);_(@_)"/>
  </numFmts>
  <fonts count="34"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sz val="10"/>
      <color theme="1"/>
      <name val="Calibri"/>
      <family val="2"/>
      <scheme val="minor"/>
    </font>
    <font>
      <sz val="10"/>
      <color rgb="FFFF0000"/>
      <name val="Calibri"/>
      <family val="2"/>
      <scheme val="minor"/>
    </font>
    <font>
      <sz val="10"/>
      <name val="Calibri"/>
      <family val="2"/>
      <scheme val="minor"/>
    </font>
    <font>
      <sz val="8"/>
      <name val="Calibri"/>
      <family val="2"/>
      <scheme val="minor"/>
    </font>
    <font>
      <sz val="12"/>
      <color theme="1"/>
      <name val="Times New Roman"/>
      <family val="1"/>
    </font>
    <font>
      <sz val="12"/>
      <color rgb="FF000000"/>
      <name val="Times New Roman"/>
      <family val="1"/>
    </font>
    <font>
      <sz val="11"/>
      <color theme="1"/>
      <name val="Calibri"/>
      <family val="2"/>
      <scheme val="minor"/>
    </font>
    <font>
      <b/>
      <sz val="11"/>
      <color theme="1"/>
      <name val="Calibri"/>
      <family val="2"/>
      <scheme val="minor"/>
    </font>
    <font>
      <vertAlign val="superscript"/>
      <sz val="11"/>
      <color theme="1"/>
      <name val="Calibri"/>
      <family val="2"/>
      <scheme val="minor"/>
    </font>
    <font>
      <vertAlign val="superscript"/>
      <sz val="10"/>
      <color theme="1"/>
      <name val="Times New Roman"/>
      <family val="1"/>
    </font>
    <font>
      <vertAlign val="superscript"/>
      <sz val="10"/>
      <color rgb="FF000000"/>
      <name val="Times New Roman"/>
      <family val="1"/>
    </font>
    <font>
      <b/>
      <vertAlign val="superscript"/>
      <sz val="10"/>
      <color theme="1"/>
      <name val="Times New Roman"/>
      <family val="1"/>
    </font>
    <font>
      <vertAlign val="superscript"/>
      <sz val="10"/>
      <color theme="1"/>
      <name val="Calibri"/>
      <family val="2"/>
      <scheme val="minor"/>
    </font>
    <font>
      <b/>
      <vertAlign val="superscript"/>
      <sz val="10"/>
      <color rgb="FF000000"/>
      <name val="Times New Roman"/>
      <family val="1"/>
    </font>
    <font>
      <b/>
      <vertAlign val="superscript"/>
      <sz val="11"/>
      <color theme="1"/>
      <name val="Calibri"/>
      <family val="2"/>
      <scheme val="minor"/>
    </font>
  </fonts>
  <fills count="3">
    <fill>
      <patternFill patternType="none"/>
    </fill>
    <fill>
      <patternFill patternType="gray125"/>
    </fill>
    <fill>
      <patternFill patternType="lightUp"/>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4" fontId="8" fillId="0" borderId="0"/>
    <xf numFmtId="43" fontId="25" fillId="0" borderId="0" applyFont="0" applyFill="0" applyBorder="0" applyAlignment="0" applyProtection="0"/>
    <xf numFmtId="44" fontId="25" fillId="0" borderId="0" applyFont="0" applyFill="0" applyBorder="0" applyAlignment="0" applyProtection="0"/>
  </cellStyleXfs>
  <cellXfs count="157">
    <xf numFmtId="0" fontId="0" fillId="0" borderId="0" xfId="0"/>
    <xf numFmtId="0" fontId="2" fillId="0" borderId="0" xfId="0" applyFont="1"/>
    <xf numFmtId="0" fontId="6" fillId="0" borderId="0" xfId="0" applyFont="1"/>
    <xf numFmtId="164" fontId="10" fillId="0" borderId="0" xfId="1" applyFont="1" applyAlignment="1">
      <alignment horizontal="center" vertical="center" wrapText="1"/>
    </xf>
    <xf numFmtId="164" fontId="7" fillId="0" borderId="0" xfId="1" applyFont="1" applyAlignment="1">
      <alignment horizontal="center" vertical="center" wrapText="1"/>
    </xf>
    <xf numFmtId="165" fontId="7" fillId="0" borderId="0" xfId="1" applyNumberFormat="1" applyFont="1" applyAlignment="1">
      <alignment horizontal="right" wrapText="1"/>
    </xf>
    <xf numFmtId="0" fontId="7" fillId="0" borderId="0" xfId="0" applyFont="1"/>
    <xf numFmtId="0" fontId="2" fillId="0" borderId="0" xfId="0" applyFont="1" applyAlignment="1">
      <alignment horizontal="right"/>
    </xf>
    <xf numFmtId="0" fontId="6" fillId="0" borderId="0" xfId="0" applyFont="1" applyAlignment="1">
      <alignment wrapText="1"/>
    </xf>
    <xf numFmtId="0" fontId="7" fillId="0" borderId="1" xfId="0" applyFont="1" applyBorder="1" applyAlignment="1">
      <alignment horizontal="center" wrapText="1"/>
    </xf>
    <xf numFmtId="8" fontId="7" fillId="0" borderId="1" xfId="0" applyNumberFormat="1" applyFont="1" applyBorder="1" applyAlignment="1">
      <alignment horizontal="right" wrapText="1"/>
    </xf>
    <xf numFmtId="0" fontId="14" fillId="0" borderId="0" xfId="0" applyFont="1"/>
    <xf numFmtId="0" fontId="12" fillId="0" borderId="1" xfId="0" applyFont="1" applyBorder="1"/>
    <xf numFmtId="41" fontId="14" fillId="0" borderId="0" xfId="0" applyNumberFormat="1" applyFont="1"/>
    <xf numFmtId="164" fontId="10" fillId="0" borderId="0" xfId="1" applyFont="1" applyAlignment="1">
      <alignment wrapText="1"/>
    </xf>
    <xf numFmtId="0" fontId="19" fillId="0" borderId="0" xfId="0" applyFont="1"/>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9" fillId="0" borderId="0" xfId="0" applyFont="1" applyAlignment="1">
      <alignment wrapText="1"/>
    </xf>
    <xf numFmtId="0" fontId="13" fillId="0" borderId="1" xfId="0" applyFont="1" applyBorder="1" applyAlignment="1">
      <alignment vertical="center" wrapText="1"/>
    </xf>
    <xf numFmtId="0" fontId="12" fillId="0" borderId="0" xfId="0" applyFont="1" applyAlignment="1">
      <alignment vertical="top" wrapText="1"/>
    </xf>
    <xf numFmtId="165" fontId="7" fillId="0" borderId="1" xfId="0" applyNumberFormat="1" applyFont="1" applyBorder="1"/>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0" xfId="0" applyFont="1"/>
    <xf numFmtId="0" fontId="2" fillId="0" borderId="1" xfId="0" applyFont="1" applyBorder="1" applyAlignment="1">
      <alignment horizontal="left" vertical="center" wrapText="1" indent="1"/>
    </xf>
    <xf numFmtId="0" fontId="2" fillId="0" borderId="1" xfId="0" applyFont="1" applyBorder="1" applyAlignment="1">
      <alignment horizontal="right" vertical="center" wrapText="1"/>
    </xf>
    <xf numFmtId="16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3" fontId="2" fillId="0" borderId="0" xfId="0" applyNumberFormat="1" applyFont="1"/>
    <xf numFmtId="0" fontId="3" fillId="0" borderId="0" xfId="0" applyFont="1"/>
    <xf numFmtId="0" fontId="2" fillId="0" borderId="0" xfId="0" applyFont="1" applyAlignment="1">
      <alignment vertical="top" wrapText="1"/>
    </xf>
    <xf numFmtId="0" fontId="20" fillId="0" borderId="0" xfId="0" applyFont="1" applyAlignment="1">
      <alignment vertical="top" wrapText="1"/>
    </xf>
    <xf numFmtId="0" fontId="7" fillId="0" borderId="1" xfId="0" applyFont="1" applyBorder="1" applyAlignment="1">
      <alignment horizontal="left" vertical="top" wrapText="1"/>
    </xf>
    <xf numFmtId="0" fontId="9" fillId="0" borderId="1" xfId="0" applyFont="1" applyBorder="1" applyAlignment="1">
      <alignment wrapText="1"/>
    </xf>
    <xf numFmtId="0" fontId="18"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5" fillId="0" borderId="0" xfId="0" applyFont="1" applyAlignment="1">
      <alignment vertical="top" wrapText="1"/>
    </xf>
    <xf numFmtId="3" fontId="4" fillId="0" borderId="0" xfId="0" applyNumberFormat="1" applyFont="1" applyAlignment="1">
      <alignment wrapText="1"/>
    </xf>
    <xf numFmtId="6" fontId="4" fillId="0" borderId="0" xfId="0" applyNumberFormat="1" applyFont="1" applyAlignment="1">
      <alignment horizontal="right" wrapText="1"/>
    </xf>
    <xf numFmtId="0" fontId="3" fillId="0" borderId="0" xfId="0" applyFont="1" applyAlignment="1">
      <alignment wrapText="1"/>
    </xf>
    <xf numFmtId="164" fontId="6" fillId="0" borderId="0" xfId="1" applyFont="1" applyAlignment="1">
      <alignment vertical="center"/>
    </xf>
    <xf numFmtId="164" fontId="6" fillId="0" borderId="0" xfId="1" applyFont="1"/>
    <xf numFmtId="0" fontId="23" fillId="0" borderId="0" xfId="0" applyFont="1" applyAlignment="1">
      <alignment vertical="center" wrapText="1"/>
    </xf>
    <xf numFmtId="0" fontId="2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top" wrapText="1"/>
    </xf>
    <xf numFmtId="0" fontId="7" fillId="0" borderId="1" xfId="0" applyFont="1" applyBorder="1" applyAlignment="1">
      <alignment horizontal="center" vertical="top" wrapText="1"/>
    </xf>
    <xf numFmtId="164" fontId="6" fillId="0" borderId="0" xfId="1" applyFont="1" applyAlignment="1">
      <alignment horizontal="left" vertical="center"/>
    </xf>
    <xf numFmtId="6" fontId="17" fillId="0" borderId="1" xfId="0" applyNumberFormat="1" applyFont="1" applyBorder="1" applyAlignment="1">
      <alignment horizontal="right" wrapText="1"/>
    </xf>
    <xf numFmtId="6" fontId="9" fillId="0" borderId="1" xfId="0" applyNumberFormat="1" applyFont="1" applyBorder="1" applyAlignment="1">
      <alignment horizontal="right" wrapText="1"/>
    </xf>
    <xf numFmtId="8" fontId="2" fillId="0" borderId="0" xfId="0" applyNumberFormat="1" applyFont="1"/>
    <xf numFmtId="0" fontId="7" fillId="0" borderId="0" xfId="0" applyFont="1" applyAlignment="1">
      <alignment horizontal="left" vertical="top" wrapText="1"/>
    </xf>
    <xf numFmtId="0" fontId="7" fillId="0" borderId="0" xfId="0" applyFont="1" applyAlignment="1">
      <alignment wrapText="1"/>
    </xf>
    <xf numFmtId="0" fontId="7" fillId="0" borderId="1" xfId="0" applyFont="1" applyBorder="1"/>
    <xf numFmtId="0" fontId="2" fillId="0" borderId="1" xfId="0" applyFont="1" applyBorder="1" applyAlignment="1">
      <alignment horizontal="right"/>
    </xf>
    <xf numFmtId="165" fontId="2" fillId="0" borderId="1" xfId="0" applyNumberFormat="1" applyFont="1" applyBorder="1" applyAlignment="1">
      <alignment horizontal="center" vertical="center" wrapText="1"/>
    </xf>
    <xf numFmtId="165" fontId="2" fillId="0" borderId="1" xfId="0" applyNumberFormat="1" applyFont="1" applyBorder="1" applyAlignment="1">
      <alignment horizontal="right" vertical="center" wrapText="1"/>
    </xf>
    <xf numFmtId="168" fontId="9" fillId="0" borderId="2" xfId="2" applyNumberFormat="1" applyFont="1" applyBorder="1" applyAlignment="1">
      <alignment horizontal="center" vertical="center" wrapText="1"/>
    </xf>
    <xf numFmtId="166" fontId="17" fillId="0" borderId="1" xfId="2" applyNumberFormat="1" applyFont="1" applyBorder="1" applyAlignment="1">
      <alignment horizontal="right" wrapText="1"/>
    </xf>
    <xf numFmtId="8" fontId="7" fillId="0" borderId="1" xfId="0" applyNumberFormat="1" applyFont="1" applyBorder="1" applyAlignment="1">
      <alignment horizontal="right" vertical="center" wrapText="1"/>
    </xf>
    <xf numFmtId="165" fontId="7" fillId="0" borderId="0" xfId="0" applyNumberFormat="1" applyFont="1"/>
    <xf numFmtId="0" fontId="9" fillId="0" borderId="1" xfId="0" applyFont="1" applyBorder="1" applyAlignment="1">
      <alignment vertical="center" wrapText="1"/>
    </xf>
    <xf numFmtId="2" fontId="7" fillId="0" borderId="1" xfId="0" applyNumberFormat="1" applyFont="1" applyBorder="1" applyAlignment="1">
      <alignment horizontal="center" vertical="center" wrapText="1"/>
    </xf>
    <xf numFmtId="168" fontId="7" fillId="0" borderId="1" xfId="2" applyNumberFormat="1" applyFont="1" applyBorder="1" applyAlignment="1">
      <alignment horizontal="center" vertical="center" wrapText="1"/>
    </xf>
    <xf numFmtId="166" fontId="21" fillId="0" borderId="1" xfId="0" applyNumberFormat="1" applyFont="1" applyBorder="1"/>
    <xf numFmtId="166" fontId="7" fillId="0" borderId="1" xfId="3" applyNumberFormat="1" applyFont="1" applyBorder="1" applyAlignment="1">
      <alignment horizontal="right" vertical="center" wrapText="1"/>
    </xf>
    <xf numFmtId="166" fontId="7" fillId="0" borderId="1" xfId="0" applyNumberFormat="1" applyFont="1" applyBorder="1" applyAlignment="1">
      <alignment horizontal="right" vertical="center" wrapText="1"/>
    </xf>
    <xf numFmtId="6" fontId="2" fillId="0" borderId="1" xfId="0" applyNumberFormat="1" applyFont="1" applyBorder="1" applyAlignment="1">
      <alignment horizontal="right" vertical="center" wrapText="1"/>
    </xf>
    <xf numFmtId="6" fontId="7" fillId="0" borderId="1" xfId="0" applyNumberFormat="1" applyFont="1" applyBorder="1" applyAlignment="1">
      <alignment horizontal="right" vertical="center" wrapText="1"/>
    </xf>
    <xf numFmtId="166" fontId="19" fillId="0" borderId="1" xfId="0" applyNumberFormat="1" applyFont="1" applyBorder="1"/>
    <xf numFmtId="1" fontId="2" fillId="0" borderId="1" xfId="0" applyNumberFormat="1" applyFont="1" applyBorder="1" applyAlignment="1">
      <alignment horizontal="right" vertical="center" wrapText="1"/>
    </xf>
    <xf numFmtId="1" fontId="21" fillId="0" borderId="1" xfId="0" applyNumberFormat="1" applyFont="1" applyBorder="1"/>
    <xf numFmtId="0" fontId="12" fillId="0" borderId="0" xfId="0" applyFont="1" applyAlignment="1">
      <alignment horizontal="center" vertical="center" wrapText="1"/>
    </xf>
    <xf numFmtId="0" fontId="11" fillId="0" borderId="0" xfId="0" applyFont="1" applyAlignment="1">
      <alignment vertical="center" wrapText="1"/>
    </xf>
    <xf numFmtId="168" fontId="9" fillId="0" borderId="1" xfId="2" applyNumberFormat="1" applyFont="1" applyBorder="1" applyAlignment="1">
      <alignment wrapText="1"/>
    </xf>
    <xf numFmtId="168" fontId="2" fillId="0" borderId="1" xfId="2" applyNumberFormat="1" applyFont="1" applyBorder="1" applyAlignment="1">
      <alignment horizontal="center" vertical="center" wrapText="1"/>
    </xf>
    <xf numFmtId="168" fontId="2" fillId="0" borderId="1" xfId="0" applyNumberFormat="1" applyFont="1" applyBorder="1" applyAlignment="1">
      <alignment horizontal="center" vertical="center" wrapText="1"/>
    </xf>
    <xf numFmtId="6" fontId="2" fillId="0" borderId="1" xfId="0" applyNumberFormat="1" applyFont="1" applyBorder="1" applyAlignment="1">
      <alignment vertical="center" wrapText="1"/>
    </xf>
    <xf numFmtId="0" fontId="13" fillId="0" borderId="7" xfId="0" applyFont="1" applyBorder="1" applyAlignment="1">
      <alignment vertical="center" wrapText="1"/>
    </xf>
    <xf numFmtId="0" fontId="11" fillId="0" borderId="8" xfId="0" applyFont="1" applyBorder="1" applyAlignment="1">
      <alignment vertical="center"/>
    </xf>
    <xf numFmtId="0" fontId="11" fillId="0" borderId="8" xfId="0" applyFont="1" applyBorder="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0" fillId="0" borderId="1" xfId="0" applyBorder="1"/>
    <xf numFmtId="0" fontId="26" fillId="0" borderId="1" xfId="0" applyFont="1" applyBorder="1"/>
    <xf numFmtId="0" fontId="26" fillId="0" borderId="1" xfId="0" applyFont="1" applyBorder="1" applyAlignment="1">
      <alignment horizontal="center" wrapText="1"/>
    </xf>
    <xf numFmtId="168" fontId="0" fillId="0" borderId="1" xfId="2" applyNumberFormat="1" applyFont="1" applyBorder="1"/>
    <xf numFmtId="168" fontId="26" fillId="0" borderId="1" xfId="2" applyNumberFormat="1" applyFont="1" applyBorder="1"/>
    <xf numFmtId="166" fontId="0" fillId="0" borderId="1" xfId="2" applyNumberFormat="1" applyFont="1" applyBorder="1"/>
    <xf numFmtId="166" fontId="26" fillId="0" borderId="1" xfId="2" applyNumberFormat="1" applyFont="1" applyBorder="1"/>
    <xf numFmtId="168" fontId="26" fillId="2" borderId="1" xfId="2" applyNumberFormat="1" applyFont="1" applyFill="1" applyBorder="1"/>
    <xf numFmtId="0" fontId="0" fillId="0" borderId="0" xfId="0" applyAlignment="1">
      <alignment wrapText="1"/>
    </xf>
    <xf numFmtId="165" fontId="0" fillId="0" borderId="0" xfId="0" applyNumberFormat="1"/>
    <xf numFmtId="17" fontId="0" fillId="0" borderId="0" xfId="0" applyNumberFormat="1"/>
    <xf numFmtId="167" fontId="2" fillId="0" borderId="1" xfId="0" applyNumberFormat="1" applyFont="1" applyBorder="1" applyAlignment="1">
      <alignment horizontal="right" vertical="center" wrapText="1"/>
    </xf>
    <xf numFmtId="0" fontId="15" fillId="0" borderId="0" xfId="0" applyFont="1" applyAlignment="1">
      <alignment wrapText="1"/>
    </xf>
    <xf numFmtId="1" fontId="7" fillId="0" borderId="1" xfId="0" applyNumberFormat="1" applyFont="1" applyBorder="1" applyAlignment="1">
      <alignment horizontal="center" wrapText="1"/>
    </xf>
    <xf numFmtId="2" fontId="7" fillId="0" borderId="1" xfId="0" applyNumberFormat="1" applyFont="1" applyBorder="1" applyAlignment="1">
      <alignment horizontal="center" wrapText="1"/>
    </xf>
    <xf numFmtId="37" fontId="9" fillId="0" borderId="1" xfId="2" applyNumberFormat="1" applyFont="1" applyBorder="1" applyAlignment="1">
      <alignment wrapText="1"/>
    </xf>
    <xf numFmtId="3" fontId="7" fillId="0" borderId="1" xfId="3"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168" fontId="19" fillId="0" borderId="0" xfId="0" applyNumberFormat="1" applyFont="1"/>
    <xf numFmtId="41" fontId="0" fillId="0" borderId="0" xfId="0" applyNumberFormat="1"/>
    <xf numFmtId="3" fontId="0" fillId="0" borderId="0" xfId="0" applyNumberFormat="1"/>
    <xf numFmtId="6" fontId="0" fillId="0" borderId="0" xfId="0" applyNumberFormat="1"/>
    <xf numFmtId="0" fontId="0" fillId="0" borderId="0" xfId="0" applyAlignment="1">
      <alignment horizontal="center"/>
    </xf>
    <xf numFmtId="0" fontId="15" fillId="0" borderId="0" xfId="0" applyFont="1" applyAlignment="1">
      <alignment horizontal="left" wrapText="1"/>
    </xf>
    <xf numFmtId="0" fontId="15" fillId="0" borderId="0" xfId="0" applyFont="1" applyAlignment="1">
      <alignment horizontal="left" vertical="center" wrapText="1"/>
    </xf>
    <xf numFmtId="0" fontId="12" fillId="0" borderId="1" xfId="0" applyFont="1" applyBorder="1" applyAlignment="1">
      <alignment horizontal="center"/>
    </xf>
    <xf numFmtId="0" fontId="3" fillId="0" borderId="0" xfId="0" applyFont="1" applyAlignment="1">
      <alignment horizontal="left"/>
    </xf>
    <xf numFmtId="0" fontId="15" fillId="0" borderId="0" xfId="0" applyFont="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15" fillId="0" borderId="0" xfId="0" applyFont="1" applyAlignment="1">
      <alignment vertical="center" wrapText="1"/>
    </xf>
    <xf numFmtId="0" fontId="7" fillId="0" borderId="0" xfId="0" applyFont="1" applyAlignment="1">
      <alignment wrapText="1"/>
    </xf>
    <xf numFmtId="0" fontId="7" fillId="0" borderId="0" xfId="0" applyFont="1" applyAlignment="1">
      <alignment horizontal="left" vertical="top" wrapText="1"/>
    </xf>
    <xf numFmtId="0" fontId="15" fillId="0" borderId="0" xfId="0" applyFont="1" applyAlignment="1">
      <alignment wrapText="1"/>
    </xf>
    <xf numFmtId="0" fontId="9" fillId="0" borderId="0" xfId="0" applyFont="1" applyAlignment="1">
      <alignment horizontal="left"/>
    </xf>
    <xf numFmtId="0" fontId="7" fillId="0" borderId="5" xfId="0" applyFont="1" applyBorder="1" applyAlignment="1">
      <alignment horizontal="left" vertical="top"/>
    </xf>
    <xf numFmtId="0" fontId="9" fillId="0" borderId="2" xfId="0" applyFont="1" applyBorder="1" applyAlignment="1">
      <alignment horizontal="center"/>
    </xf>
    <xf numFmtId="0" fontId="9" fillId="0" borderId="4" xfId="0" applyFont="1" applyBorder="1" applyAlignment="1">
      <alignment horizontal="center"/>
    </xf>
    <xf numFmtId="0" fontId="0" fillId="0" borderId="0" xfId="0" applyAlignment="1">
      <alignment horizontal="left"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0" xfId="0" applyAlignment="1">
      <alignment horizontal="left" vertical="top" wrapText="1"/>
    </xf>
  </cellXfs>
  <cellStyles count="4">
    <cellStyle name="Comma" xfId="2" builtinId="3"/>
    <cellStyle name="Currency" xfId="3" builtinId="4"/>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D4B8B-DA26-4926-83A1-B8BF280AB7D7}">
  <dimension ref="A1:B8"/>
  <sheetViews>
    <sheetView tabSelected="1" workbookViewId="0">
      <selection activeCell="C8" sqref="C8"/>
    </sheetView>
  </sheetViews>
  <sheetFormatPr defaultRowHeight="14.5" x14ac:dyDescent="0.35"/>
  <cols>
    <col min="1" max="1" width="27.7265625" bestFit="1" customWidth="1"/>
    <col min="2" max="2" width="23" customWidth="1"/>
  </cols>
  <sheetData>
    <row r="1" spans="1:2" x14ac:dyDescent="0.35">
      <c r="A1" s="130" t="s">
        <v>209</v>
      </c>
      <c r="B1" s="130"/>
    </row>
    <row r="2" spans="1:2" x14ac:dyDescent="0.35">
      <c r="A2" t="s">
        <v>217</v>
      </c>
      <c r="B2" s="127" t="s">
        <v>215</v>
      </c>
    </row>
    <row r="3" spans="1:2" x14ac:dyDescent="0.35">
      <c r="A3" t="s">
        <v>210</v>
      </c>
      <c r="B3" s="128">
        <f>'Table 6.6'!B6</f>
        <v>22200</v>
      </c>
    </row>
    <row r="4" spans="1:2" x14ac:dyDescent="0.35">
      <c r="A4" t="s">
        <v>211</v>
      </c>
      <c r="B4" s="128">
        <f>'Table 6.6'!C6</f>
        <v>23500</v>
      </c>
    </row>
    <row r="5" spans="1:2" x14ac:dyDescent="0.35">
      <c r="A5" t="s">
        <v>212</v>
      </c>
      <c r="B5" s="129">
        <f>'Table 6.6'!D6</f>
        <v>2420000</v>
      </c>
    </row>
    <row r="6" spans="1:2" x14ac:dyDescent="0.35">
      <c r="A6" t="s">
        <v>213</v>
      </c>
      <c r="B6" s="129">
        <v>0</v>
      </c>
    </row>
    <row r="7" spans="1:2" x14ac:dyDescent="0.35">
      <c r="A7" t="s">
        <v>214</v>
      </c>
      <c r="B7" t="s">
        <v>216</v>
      </c>
    </row>
    <row r="8" spans="1:2" x14ac:dyDescent="0.35">
      <c r="A8" t="s">
        <v>218</v>
      </c>
      <c r="B8" s="128">
        <v>9388</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D10"/>
  <sheetViews>
    <sheetView zoomScaleNormal="100" workbookViewId="0">
      <selection activeCell="B6" sqref="B6"/>
    </sheetView>
  </sheetViews>
  <sheetFormatPr defaultRowHeight="14.5" x14ac:dyDescent="0.35"/>
  <cols>
    <col min="1" max="1" width="15.81640625" customWidth="1"/>
    <col min="2" max="2" width="11.81640625" customWidth="1"/>
    <col min="3" max="3" width="12.7265625" customWidth="1"/>
  </cols>
  <sheetData>
    <row r="1" spans="1:4" s="15" customFormat="1" ht="15" x14ac:dyDescent="0.3">
      <c r="A1" s="31" t="s">
        <v>53</v>
      </c>
      <c r="B1" s="91"/>
      <c r="C1" s="91"/>
    </row>
    <row r="2" spans="1:4" s="15" customFormat="1" ht="13" x14ac:dyDescent="0.3">
      <c r="A2" s="90"/>
      <c r="B2" s="90"/>
      <c r="C2" s="90"/>
    </row>
    <row r="3" spans="1:4" s="15" customFormat="1" ht="26" x14ac:dyDescent="0.3">
      <c r="A3" s="16" t="s">
        <v>8</v>
      </c>
      <c r="B3" s="16" t="s">
        <v>44</v>
      </c>
      <c r="C3" s="16" t="s">
        <v>47</v>
      </c>
    </row>
    <row r="4" spans="1:4" s="15" customFormat="1" ht="17.25" customHeight="1" x14ac:dyDescent="0.3">
      <c r="A4" s="28" t="s">
        <v>48</v>
      </c>
      <c r="B4" s="93">
        <f>'Table 6.2a'!D14+'Table 6.2a'!E14</f>
        <v>4210.2545600000003</v>
      </c>
      <c r="C4" s="95">
        <f>'Table 6.2a'!F14</f>
        <v>233000</v>
      </c>
    </row>
    <row r="5" spans="1:4" s="15" customFormat="1" ht="13" x14ac:dyDescent="0.3">
      <c r="A5" s="18" t="s">
        <v>49</v>
      </c>
      <c r="B5" s="93">
        <f>'Table 6.2b'!D14+'Table 6.2b'!E14</f>
        <v>4210.2587199999998</v>
      </c>
      <c r="C5" s="95">
        <f>'Table 6.2b'!F14</f>
        <v>233000</v>
      </c>
    </row>
    <row r="6" spans="1:4" s="15" customFormat="1" ht="13" x14ac:dyDescent="0.3">
      <c r="A6" s="18" t="s">
        <v>50</v>
      </c>
      <c r="B6" s="93">
        <f>'Table 6.2c'!D14+'Table 6.2c'!E14</f>
        <v>4210.2628800000002</v>
      </c>
      <c r="C6" s="95">
        <f>'Table 6.2c'!F14</f>
        <v>233000</v>
      </c>
    </row>
    <row r="7" spans="1:4" s="15" customFormat="1" ht="13" x14ac:dyDescent="0.3">
      <c r="A7" s="18"/>
      <c r="B7" s="17"/>
      <c r="C7" s="17"/>
    </row>
    <row r="8" spans="1:4" s="15" customFormat="1" ht="13" x14ac:dyDescent="0.3">
      <c r="A8" s="79" t="s">
        <v>7</v>
      </c>
      <c r="B8" s="94">
        <f>SUM(B4:B6)</f>
        <v>12630.776159999999</v>
      </c>
      <c r="C8" s="85">
        <f>SUM(C4:C6)</f>
        <v>699000</v>
      </c>
      <c r="D8" s="2"/>
    </row>
    <row r="9" spans="1:4" s="15" customFormat="1" ht="28.5" customHeight="1" x14ac:dyDescent="0.3">
      <c r="A9" s="41" t="s">
        <v>9</v>
      </c>
      <c r="B9" s="93">
        <f>AVERAGE(B4:B6)</f>
        <v>4210.2587199999998</v>
      </c>
      <c r="C9" s="85">
        <f>AVERAGE(C4:C6)</f>
        <v>233000</v>
      </c>
    </row>
    <row r="10" spans="1:4" s="15" customFormat="1" ht="9.75" customHeight="1" x14ac:dyDescent="0.3">
      <c r="A10" s="61"/>
      <c r="B10" s="62"/>
      <c r="C10" s="6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F2A12-EFED-4165-BFC9-739284DAEAA5}">
  <dimension ref="A1:H9"/>
  <sheetViews>
    <sheetView workbookViewId="0">
      <selection activeCell="B14" sqref="B14"/>
    </sheetView>
  </sheetViews>
  <sheetFormatPr defaultRowHeight="14.5" x14ac:dyDescent="0.35"/>
  <cols>
    <col min="1" max="8" width="15.7265625" customWidth="1"/>
  </cols>
  <sheetData>
    <row r="1" spans="1:8" ht="15.5" x14ac:dyDescent="0.35">
      <c r="A1" s="31" t="s">
        <v>61</v>
      </c>
    </row>
    <row r="3" spans="1:8" ht="52.15" customHeight="1" x14ac:dyDescent="0.35">
      <c r="A3" s="109" t="s">
        <v>62</v>
      </c>
      <c r="B3" s="109" t="s">
        <v>63</v>
      </c>
      <c r="C3" s="109" t="s">
        <v>64</v>
      </c>
      <c r="D3" s="109" t="s">
        <v>65</v>
      </c>
      <c r="E3" s="109" t="s">
        <v>66</v>
      </c>
      <c r="F3" s="109" t="s">
        <v>67</v>
      </c>
      <c r="G3" s="109" t="s">
        <v>68</v>
      </c>
      <c r="H3" s="109" t="s">
        <v>69</v>
      </c>
    </row>
    <row r="4" spans="1:8" ht="16.5" x14ac:dyDescent="0.35">
      <c r="A4" s="107" t="s">
        <v>70</v>
      </c>
      <c r="B4" s="110">
        <f>'Table 6.4'!B18</f>
        <v>22036</v>
      </c>
      <c r="C4" s="110">
        <f>'Table 6.4'!B9</f>
        <v>19300.145291666668</v>
      </c>
      <c r="D4" s="112">
        <f>'Table 6.4'!C9</f>
        <v>2190000</v>
      </c>
      <c r="E4" s="112">
        <v>0</v>
      </c>
      <c r="F4" s="112">
        <f>SUM(D4:E4)</f>
        <v>2190000</v>
      </c>
      <c r="G4" s="110">
        <f>C4/B4</f>
        <v>0.87584612868336664</v>
      </c>
      <c r="H4" s="112">
        <f>F4/B4</f>
        <v>99.382828099473585</v>
      </c>
    </row>
    <row r="5" spans="1:8" x14ac:dyDescent="0.35">
      <c r="A5" s="107" t="s">
        <v>71</v>
      </c>
      <c r="B5" s="110">
        <f>AVERAGE('Table 6.2a'!C5,'Table 6.2b'!C5,'Table 6.2c'!C5)</f>
        <v>117</v>
      </c>
      <c r="C5" s="110">
        <f>'Table 6.5'!B9</f>
        <v>4210.2587199999998</v>
      </c>
      <c r="D5" s="112">
        <f>'Table 6.5'!C9</f>
        <v>233000</v>
      </c>
      <c r="E5" s="112">
        <v>0</v>
      </c>
      <c r="F5" s="112">
        <f>SUM(D5:E5)</f>
        <v>233000</v>
      </c>
      <c r="G5" s="110">
        <f>C5/B5</f>
        <v>35.98511726495726</v>
      </c>
      <c r="H5" s="112">
        <f>F5/B5</f>
        <v>1991.4529914529915</v>
      </c>
    </row>
    <row r="6" spans="1:8" ht="16.5" x14ac:dyDescent="0.35">
      <c r="A6" s="108" t="s">
        <v>206</v>
      </c>
      <c r="B6" s="111">
        <f>ROUND(SUM(B4:B5),-2)</f>
        <v>22200</v>
      </c>
      <c r="C6" s="111">
        <f>ROUND(SUM(C4:C5),-2)</f>
        <v>23500</v>
      </c>
      <c r="D6" s="113">
        <f>ROUND(SUM(D4:D5),-4)</f>
        <v>2420000</v>
      </c>
      <c r="E6" s="113">
        <f t="shared" ref="E6" si="0">SUM(E4:E5)</f>
        <v>0</v>
      </c>
      <c r="F6" s="113">
        <f>ROUND(SUM(F4:F5),-4)</f>
        <v>2420000</v>
      </c>
      <c r="G6" s="114"/>
      <c r="H6" s="114"/>
    </row>
    <row r="8" spans="1:8" ht="31.15" customHeight="1" x14ac:dyDescent="0.35">
      <c r="A8" s="156" t="s">
        <v>104</v>
      </c>
      <c r="B8" s="156"/>
      <c r="C8" s="156"/>
      <c r="D8" s="156"/>
      <c r="E8" s="156"/>
      <c r="F8" s="156"/>
      <c r="G8" s="156"/>
      <c r="H8" s="156"/>
    </row>
    <row r="9" spans="1:8" ht="16.5" x14ac:dyDescent="0.35">
      <c r="A9" t="s">
        <v>207</v>
      </c>
    </row>
  </sheetData>
  <mergeCells count="1">
    <mergeCell ref="A8:H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35888-4298-445C-AFCA-35BE75A49A63}">
  <dimension ref="A1:AE98"/>
  <sheetViews>
    <sheetView topLeftCell="A14" workbookViewId="0">
      <selection activeCell="E22" sqref="E22"/>
    </sheetView>
  </sheetViews>
  <sheetFormatPr defaultRowHeight="14.5" x14ac:dyDescent="0.35"/>
  <cols>
    <col min="1" max="1" width="17.7265625" customWidth="1"/>
    <col min="2" max="2" width="10.26953125" customWidth="1"/>
    <col min="3" max="3" width="26.7265625" customWidth="1"/>
    <col min="4" max="4" width="13.81640625" customWidth="1"/>
    <col min="5" max="5" width="13.54296875" customWidth="1"/>
    <col min="6" max="6" width="10.7265625" customWidth="1"/>
    <col min="8" max="8" width="11.453125" customWidth="1"/>
    <col min="9" max="9" width="10.7265625" customWidth="1"/>
    <col min="10" max="11" width="9.7265625" customWidth="1"/>
    <col min="12" max="12" width="10.26953125" customWidth="1"/>
    <col min="13" max="13" width="9.7265625" customWidth="1"/>
    <col min="14" max="14" width="10.1796875" customWidth="1"/>
    <col min="15" max="15" width="10.26953125" customWidth="1"/>
    <col min="16" max="16" width="11.26953125" customWidth="1"/>
    <col min="17" max="17" width="10.453125" customWidth="1"/>
    <col min="19" max="19" width="10.7265625" customWidth="1"/>
    <col min="24" max="24" width="10.7265625" customWidth="1"/>
    <col min="25" max="25" width="10.26953125" customWidth="1"/>
    <col min="29" max="29" width="10.1796875" customWidth="1"/>
  </cols>
  <sheetData>
    <row r="1" spans="1:8" x14ac:dyDescent="0.35">
      <c r="A1" t="s">
        <v>188</v>
      </c>
    </row>
    <row r="2" spans="1:8" ht="63" customHeight="1" x14ac:dyDescent="0.35">
      <c r="A2" s="152" t="s">
        <v>187</v>
      </c>
      <c r="B2" s="152"/>
      <c r="C2" s="152"/>
      <c r="D2" s="152"/>
      <c r="E2" s="152"/>
      <c r="F2" s="152"/>
      <c r="G2" s="152"/>
      <c r="H2" s="152"/>
    </row>
    <row r="3" spans="1:8" ht="33.75" customHeight="1" x14ac:dyDescent="0.35">
      <c r="A3" s="152" t="s">
        <v>198</v>
      </c>
      <c r="B3" s="152"/>
      <c r="C3" s="152"/>
      <c r="D3" s="152"/>
      <c r="E3" s="152"/>
      <c r="F3" s="152"/>
      <c r="G3" s="152"/>
      <c r="H3" s="152"/>
    </row>
    <row r="4" spans="1:8" ht="33.75" customHeight="1" x14ac:dyDescent="0.35">
      <c r="A4" s="152" t="s">
        <v>186</v>
      </c>
      <c r="B4" s="152"/>
      <c r="C4" s="152"/>
      <c r="D4" s="152"/>
      <c r="E4" s="152"/>
      <c r="F4" s="152"/>
      <c r="G4" s="152"/>
      <c r="H4" s="152"/>
    </row>
    <row r="7" spans="1:8" x14ac:dyDescent="0.35">
      <c r="A7" t="s">
        <v>196</v>
      </c>
      <c r="D7" t="s">
        <v>189</v>
      </c>
    </row>
    <row r="8" spans="1:8" x14ac:dyDescent="0.35">
      <c r="A8" t="s">
        <v>3</v>
      </c>
      <c r="B8" s="116">
        <f>65.71</f>
        <v>65.709999999999994</v>
      </c>
      <c r="D8" t="s">
        <v>2</v>
      </c>
      <c r="E8" s="116">
        <v>54.51</v>
      </c>
    </row>
    <row r="9" spans="1:8" x14ac:dyDescent="0.35">
      <c r="A9" t="s">
        <v>2</v>
      </c>
      <c r="B9" s="116">
        <v>130.28</v>
      </c>
      <c r="D9" t="s">
        <v>1</v>
      </c>
      <c r="E9" s="116">
        <v>73.459999999999994</v>
      </c>
    </row>
    <row r="10" spans="1:8" x14ac:dyDescent="0.35">
      <c r="A10" t="s">
        <v>1</v>
      </c>
      <c r="B10" s="116">
        <v>163.16999999999999</v>
      </c>
    </row>
    <row r="12" spans="1:8" ht="93" customHeight="1" x14ac:dyDescent="0.35">
      <c r="A12" s="152" t="s">
        <v>197</v>
      </c>
      <c r="B12" s="152"/>
      <c r="C12" s="152"/>
      <c r="D12" s="152"/>
      <c r="E12" s="152"/>
      <c r="F12" s="152"/>
      <c r="G12" s="152"/>
      <c r="H12" s="152"/>
    </row>
    <row r="14" spans="1:8" ht="66" customHeight="1" x14ac:dyDescent="0.35">
      <c r="A14" s="152" t="s">
        <v>199</v>
      </c>
      <c r="B14" s="152"/>
      <c r="C14" s="152"/>
      <c r="D14" s="152"/>
      <c r="E14" s="152"/>
      <c r="F14" s="152"/>
      <c r="G14" s="152"/>
      <c r="H14" s="152"/>
    </row>
    <row r="16" spans="1:8" x14ac:dyDescent="0.35">
      <c r="A16" t="s">
        <v>185</v>
      </c>
    </row>
    <row r="18" spans="1:31" x14ac:dyDescent="0.35">
      <c r="A18" t="s">
        <v>184</v>
      </c>
    </row>
    <row r="20" spans="1:31" x14ac:dyDescent="0.35">
      <c r="A20" t="s">
        <v>208</v>
      </c>
    </row>
    <row r="21" spans="1:31" x14ac:dyDescent="0.35">
      <c r="A21" t="s">
        <v>183</v>
      </c>
      <c r="B21">
        <v>14301</v>
      </c>
    </row>
    <row r="22" spans="1:31" x14ac:dyDescent="0.35">
      <c r="A22" t="s">
        <v>182</v>
      </c>
      <c r="B22">
        <f>ROUND(B21*0.115*3.15*0.538, 0)</f>
        <v>2787</v>
      </c>
      <c r="C22" t="s">
        <v>181</v>
      </c>
    </row>
    <row r="23" spans="1:31" x14ac:dyDescent="0.35">
      <c r="A23" t="s">
        <v>180</v>
      </c>
      <c r="B23">
        <f>ROUND(B21*0.348*7.06*0.536, 0)</f>
        <v>18833</v>
      </c>
    </row>
    <row r="24" spans="1:31" s="115" customFormat="1" ht="116" x14ac:dyDescent="0.35">
      <c r="A24" s="115" t="s">
        <v>179</v>
      </c>
      <c r="B24" s="115">
        <f>B22+B23</f>
        <v>21620</v>
      </c>
      <c r="D24" s="115">
        <f>B24/14301</f>
        <v>1.5117823928396616</v>
      </c>
      <c r="E24" s="115" t="s">
        <v>178</v>
      </c>
      <c r="H24" s="115">
        <v>4.2699999999999996</v>
      </c>
      <c r="I24" s="115" t="s">
        <v>177</v>
      </c>
    </row>
    <row r="25" spans="1:31" x14ac:dyDescent="0.35">
      <c r="A25" t="s">
        <v>176</v>
      </c>
    </row>
    <row r="26" spans="1:31" s="115" customFormat="1" ht="74.5" x14ac:dyDescent="0.35">
      <c r="B26" s="115" t="s">
        <v>175</v>
      </c>
      <c r="C26" s="115" t="s">
        <v>174</v>
      </c>
      <c r="D26" s="115" t="s">
        <v>173</v>
      </c>
      <c r="E26" s="115" t="s">
        <v>172</v>
      </c>
      <c r="F26" s="115" t="s">
        <v>171</v>
      </c>
      <c r="H26" s="115" t="s">
        <v>170</v>
      </c>
      <c r="L26" s="115" t="s">
        <v>169</v>
      </c>
      <c r="P26" s="115" t="s">
        <v>168</v>
      </c>
      <c r="AB26" s="115" t="s">
        <v>167</v>
      </c>
      <c r="AC26" s="115" t="s">
        <v>166</v>
      </c>
    </row>
    <row r="27" spans="1:31" s="115" customFormat="1" ht="45.5" x14ac:dyDescent="0.35">
      <c r="C27" s="115" t="s">
        <v>165</v>
      </c>
      <c r="D27" s="115" t="s">
        <v>164</v>
      </c>
      <c r="E27" s="115" t="s">
        <v>163</v>
      </c>
      <c r="F27" s="115" t="s">
        <v>162</v>
      </c>
      <c r="G27" s="115" t="s">
        <v>161</v>
      </c>
      <c r="H27" s="115" t="s">
        <v>162</v>
      </c>
      <c r="J27" s="115" t="s">
        <v>161</v>
      </c>
      <c r="L27" s="115" t="s">
        <v>162</v>
      </c>
      <c r="N27" s="115" t="s">
        <v>161</v>
      </c>
      <c r="P27" s="115" t="s">
        <v>160</v>
      </c>
      <c r="Q27" s="115" t="s">
        <v>159</v>
      </c>
      <c r="R27" s="115" t="s">
        <v>158</v>
      </c>
      <c r="S27" s="115" t="s">
        <v>157</v>
      </c>
      <c r="X27" s="115" t="s">
        <v>156</v>
      </c>
      <c r="Y27" s="115" t="s">
        <v>155</v>
      </c>
      <c r="Z27" s="115" t="s">
        <v>154</v>
      </c>
      <c r="AA27" s="115" t="s">
        <v>153</v>
      </c>
      <c r="AB27" s="115" t="s">
        <v>152</v>
      </c>
      <c r="AC27" s="115" t="s">
        <v>151</v>
      </c>
      <c r="AD27" s="115" t="s">
        <v>150</v>
      </c>
      <c r="AE27" s="115" t="s">
        <v>149</v>
      </c>
    </row>
    <row r="28" spans="1:31" s="115" customFormat="1" ht="43.5" x14ac:dyDescent="0.35">
      <c r="H28" s="115" t="s">
        <v>148</v>
      </c>
      <c r="I28" s="115" t="s">
        <v>147</v>
      </c>
      <c r="J28" s="115" t="s">
        <v>148</v>
      </c>
      <c r="K28" s="115" t="s">
        <v>147</v>
      </c>
      <c r="L28" s="115" t="s">
        <v>148</v>
      </c>
      <c r="M28" s="115" t="s">
        <v>147</v>
      </c>
      <c r="N28" s="115" t="s">
        <v>148</v>
      </c>
      <c r="O28" s="115" t="s">
        <v>147</v>
      </c>
      <c r="S28" s="115" t="s">
        <v>146</v>
      </c>
      <c r="T28" s="115" t="s">
        <v>145</v>
      </c>
      <c r="U28" s="115" t="s">
        <v>144</v>
      </c>
      <c r="V28" s="115" t="s">
        <v>143</v>
      </c>
      <c r="W28" s="115" t="s">
        <v>142</v>
      </c>
    </row>
    <row r="29" spans="1:31" x14ac:dyDescent="0.35">
      <c r="A29" t="s">
        <v>141</v>
      </c>
      <c r="B29" s="117">
        <v>45292</v>
      </c>
      <c r="C29">
        <f>50</f>
        <v>50</v>
      </c>
      <c r="D29">
        <f t="shared" ref="D29:D34" si="0">ROUND(C29*0.115*3.15*0.538, 0)</f>
        <v>10</v>
      </c>
      <c r="E29">
        <f t="shared" ref="E29:E34" si="1">C29</f>
        <v>50</v>
      </c>
      <c r="F29">
        <f t="shared" ref="F29:F34" si="2">ROUND(D29*0.563, 0)</f>
        <v>6</v>
      </c>
      <c r="G29">
        <f t="shared" ref="G29:G34" si="3">ROUND(D29*0.437, 0)</f>
        <v>4</v>
      </c>
      <c r="H29">
        <f t="shared" ref="H29:H34" si="4">F29</f>
        <v>6</v>
      </c>
      <c r="I29">
        <v>0</v>
      </c>
      <c r="J29">
        <f t="shared" ref="J29:J34" si="5">G29</f>
        <v>4</v>
      </c>
      <c r="K29">
        <v>0</v>
      </c>
      <c r="L29">
        <f t="shared" ref="L29:L34" si="6">F29</f>
        <v>6</v>
      </c>
      <c r="M29">
        <v>0</v>
      </c>
      <c r="N29">
        <f t="shared" ref="N29:N34" si="7">G29</f>
        <v>4</v>
      </c>
      <c r="O29">
        <v>0</v>
      </c>
      <c r="P29" s="115"/>
      <c r="AB29">
        <f t="shared" ref="AB29:AB34" si="8">ROUND($B$22*0.1, 0)</f>
        <v>279</v>
      </c>
    </row>
    <row r="30" spans="1:31" x14ac:dyDescent="0.35">
      <c r="A30" t="s">
        <v>140</v>
      </c>
      <c r="B30" s="117">
        <v>45474</v>
      </c>
      <c r="C30">
        <f>50</f>
        <v>50</v>
      </c>
      <c r="D30">
        <f t="shared" si="0"/>
        <v>10</v>
      </c>
      <c r="E30">
        <f t="shared" si="1"/>
        <v>50</v>
      </c>
      <c r="F30">
        <f t="shared" si="2"/>
        <v>6</v>
      </c>
      <c r="G30">
        <f t="shared" si="3"/>
        <v>4</v>
      </c>
      <c r="H30">
        <f t="shared" si="4"/>
        <v>6</v>
      </c>
      <c r="I30">
        <v>0</v>
      </c>
      <c r="J30">
        <f t="shared" si="5"/>
        <v>4</v>
      </c>
      <c r="K30">
        <v>0</v>
      </c>
      <c r="L30">
        <f t="shared" si="6"/>
        <v>6</v>
      </c>
      <c r="M30">
        <v>0</v>
      </c>
      <c r="N30">
        <f t="shared" si="7"/>
        <v>4</v>
      </c>
      <c r="O30">
        <v>0</v>
      </c>
      <c r="P30">
        <f>B22+D29+D30</f>
        <v>2807</v>
      </c>
      <c r="Q30">
        <f>ROUND(P30*0.09, 0)</f>
        <v>253</v>
      </c>
      <c r="R30">
        <f>ROUND(P30*0.347, 0)</f>
        <v>974</v>
      </c>
      <c r="S30">
        <f>P30*0.244</f>
        <v>684.90800000000002</v>
      </c>
      <c r="T30">
        <f>P30*0</f>
        <v>0</v>
      </c>
      <c r="U30">
        <f>P30*0.154</f>
        <v>432.27800000000002</v>
      </c>
      <c r="V30">
        <f>P30*0.045</f>
        <v>126.315</v>
      </c>
      <c r="W30">
        <f>P30*0.12</f>
        <v>336.84</v>
      </c>
      <c r="X30">
        <f>P30*0</f>
        <v>0</v>
      </c>
      <c r="AB30">
        <f t="shared" si="8"/>
        <v>279</v>
      </c>
      <c r="AC30">
        <f>0.0004*P30</f>
        <v>1.1228</v>
      </c>
      <c r="AD30">
        <f>0.0004*P30</f>
        <v>1.1228</v>
      </c>
    </row>
    <row r="31" spans="1:31" x14ac:dyDescent="0.35">
      <c r="B31" s="117">
        <v>45658</v>
      </c>
      <c r="C31">
        <f>50</f>
        <v>50</v>
      </c>
      <c r="D31">
        <f t="shared" si="0"/>
        <v>10</v>
      </c>
      <c r="E31">
        <f t="shared" si="1"/>
        <v>50</v>
      </c>
      <c r="F31">
        <f t="shared" si="2"/>
        <v>6</v>
      </c>
      <c r="G31">
        <f t="shared" si="3"/>
        <v>4</v>
      </c>
      <c r="H31">
        <f t="shared" si="4"/>
        <v>6</v>
      </c>
      <c r="I31">
        <v>0</v>
      </c>
      <c r="J31">
        <f t="shared" si="5"/>
        <v>4</v>
      </c>
      <c r="K31">
        <v>0</v>
      </c>
      <c r="L31">
        <f t="shared" si="6"/>
        <v>6</v>
      </c>
      <c r="M31">
        <v>0</v>
      </c>
      <c r="N31">
        <f t="shared" si="7"/>
        <v>4</v>
      </c>
      <c r="O31">
        <v>0</v>
      </c>
      <c r="AB31">
        <f t="shared" si="8"/>
        <v>279</v>
      </c>
    </row>
    <row r="32" spans="1:31" x14ac:dyDescent="0.35">
      <c r="B32" s="117">
        <v>45839</v>
      </c>
      <c r="C32">
        <f>50</f>
        <v>50</v>
      </c>
      <c r="D32">
        <f t="shared" si="0"/>
        <v>10</v>
      </c>
      <c r="E32">
        <f t="shared" si="1"/>
        <v>50</v>
      </c>
      <c r="F32">
        <f t="shared" si="2"/>
        <v>6</v>
      </c>
      <c r="G32">
        <f t="shared" si="3"/>
        <v>4</v>
      </c>
      <c r="H32">
        <f t="shared" si="4"/>
        <v>6</v>
      </c>
      <c r="I32">
        <v>0</v>
      </c>
      <c r="J32">
        <f t="shared" si="5"/>
        <v>4</v>
      </c>
      <c r="K32">
        <v>0</v>
      </c>
      <c r="L32">
        <f t="shared" si="6"/>
        <v>6</v>
      </c>
      <c r="M32">
        <v>0</v>
      </c>
      <c r="N32">
        <f t="shared" si="7"/>
        <v>4</v>
      </c>
      <c r="O32">
        <v>0</v>
      </c>
      <c r="P32">
        <f>P30+D31+D32</f>
        <v>2827</v>
      </c>
      <c r="Q32">
        <f>ROUND(P32*0.09, 0)</f>
        <v>254</v>
      </c>
      <c r="R32">
        <f>ROUND(P32*0.347, 0)</f>
        <v>981</v>
      </c>
      <c r="S32">
        <f>P32*0.244</f>
        <v>689.78800000000001</v>
      </c>
      <c r="T32">
        <f>P32*0</f>
        <v>0</v>
      </c>
      <c r="U32">
        <f>P32*0.154</f>
        <v>435.358</v>
      </c>
      <c r="V32">
        <f>P32*0.045</f>
        <v>127.21499999999999</v>
      </c>
      <c r="W32">
        <f>P32*0.12</f>
        <v>339.24</v>
      </c>
      <c r="X32">
        <f>P32*0</f>
        <v>0</v>
      </c>
      <c r="AB32">
        <f t="shared" si="8"/>
        <v>279</v>
      </c>
      <c r="AC32">
        <f>0.0004*P32</f>
        <v>1.1308</v>
      </c>
      <c r="AD32">
        <f>0.0004*P32</f>
        <v>1.1308</v>
      </c>
    </row>
    <row r="33" spans="1:31" x14ac:dyDescent="0.35">
      <c r="B33" s="117">
        <v>46023</v>
      </c>
      <c r="C33">
        <v>50</v>
      </c>
      <c r="D33">
        <f t="shared" si="0"/>
        <v>10</v>
      </c>
      <c r="E33">
        <f t="shared" si="1"/>
        <v>50</v>
      </c>
      <c r="F33">
        <f t="shared" si="2"/>
        <v>6</v>
      </c>
      <c r="G33">
        <f t="shared" si="3"/>
        <v>4</v>
      </c>
      <c r="H33">
        <f t="shared" si="4"/>
        <v>6</v>
      </c>
      <c r="I33">
        <v>0</v>
      </c>
      <c r="J33">
        <f t="shared" si="5"/>
        <v>4</v>
      </c>
      <c r="K33">
        <v>0</v>
      </c>
      <c r="L33">
        <f t="shared" si="6"/>
        <v>6</v>
      </c>
      <c r="M33">
        <v>0</v>
      </c>
      <c r="N33">
        <f t="shared" si="7"/>
        <v>4</v>
      </c>
      <c r="O33">
        <v>0</v>
      </c>
      <c r="AB33">
        <f t="shared" si="8"/>
        <v>279</v>
      </c>
    </row>
    <row r="34" spans="1:31" x14ac:dyDescent="0.35">
      <c r="B34" s="117">
        <v>46204</v>
      </c>
      <c r="C34">
        <v>50</v>
      </c>
      <c r="D34">
        <f t="shared" si="0"/>
        <v>10</v>
      </c>
      <c r="E34">
        <f t="shared" si="1"/>
        <v>50</v>
      </c>
      <c r="F34">
        <f t="shared" si="2"/>
        <v>6</v>
      </c>
      <c r="G34">
        <f t="shared" si="3"/>
        <v>4</v>
      </c>
      <c r="H34">
        <f t="shared" si="4"/>
        <v>6</v>
      </c>
      <c r="I34">
        <v>0</v>
      </c>
      <c r="J34">
        <f t="shared" si="5"/>
        <v>4</v>
      </c>
      <c r="K34">
        <v>0</v>
      </c>
      <c r="L34">
        <f t="shared" si="6"/>
        <v>6</v>
      </c>
      <c r="M34">
        <v>0</v>
      </c>
      <c r="N34">
        <f t="shared" si="7"/>
        <v>4</v>
      </c>
      <c r="O34">
        <v>0</v>
      </c>
      <c r="P34">
        <f>P32+D33+D34</f>
        <v>2847</v>
      </c>
      <c r="Q34">
        <f>ROUND(P34*0.09, 0)</f>
        <v>256</v>
      </c>
      <c r="R34">
        <f>ROUND(P34*0.347, 0)</f>
        <v>988</v>
      </c>
      <c r="S34">
        <f>P34*0.244</f>
        <v>694.66800000000001</v>
      </c>
      <c r="T34">
        <f>P34*0</f>
        <v>0</v>
      </c>
      <c r="U34">
        <f>P34*0.154</f>
        <v>438.43799999999999</v>
      </c>
      <c r="V34">
        <f>P34*0.045</f>
        <v>128.11500000000001</v>
      </c>
      <c r="W34">
        <f>P34*0.12</f>
        <v>341.64</v>
      </c>
      <c r="X34">
        <f>P34*0</f>
        <v>0</v>
      </c>
      <c r="AB34">
        <f t="shared" si="8"/>
        <v>279</v>
      </c>
      <c r="AC34">
        <f>0.0004*P34</f>
        <v>1.1388</v>
      </c>
      <c r="AD34">
        <f>0.0004*P34</f>
        <v>1.1388</v>
      </c>
    </row>
    <row r="36" spans="1:31" x14ac:dyDescent="0.35">
      <c r="A36" t="s">
        <v>139</v>
      </c>
      <c r="B36" s="117">
        <v>45292</v>
      </c>
      <c r="C36">
        <v>115</v>
      </c>
      <c r="D36">
        <f t="shared" ref="D36:D41" si="9">ROUND(C36*0.115*1*0.538, 0)</f>
        <v>7</v>
      </c>
      <c r="E36">
        <v>0</v>
      </c>
      <c r="F36">
        <f t="shared" ref="F36:F41" si="10">ROUND(D36*0.563, 0)</f>
        <v>4</v>
      </c>
      <c r="G36">
        <f t="shared" ref="G36:G41" si="11">ROUND(D36*0.437, 0)</f>
        <v>3</v>
      </c>
      <c r="H36">
        <f t="shared" ref="H36:H41" si="12">F36</f>
        <v>4</v>
      </c>
      <c r="I36">
        <v>0</v>
      </c>
      <c r="J36">
        <f t="shared" ref="J36:J41" si="13">G36</f>
        <v>3</v>
      </c>
      <c r="K36">
        <v>0</v>
      </c>
      <c r="L36">
        <f t="shared" ref="L36:L41" si="14">F36</f>
        <v>4</v>
      </c>
      <c r="M36">
        <v>0</v>
      </c>
      <c r="N36">
        <f t="shared" ref="N36:N41" si="15">G36</f>
        <v>3</v>
      </c>
      <c r="O36">
        <v>0</v>
      </c>
    </row>
    <row r="37" spans="1:31" x14ac:dyDescent="0.35">
      <c r="A37" t="s">
        <v>135</v>
      </c>
      <c r="B37" s="117">
        <v>45474</v>
      </c>
      <c r="C37">
        <v>115</v>
      </c>
      <c r="D37">
        <f t="shared" si="9"/>
        <v>7</v>
      </c>
      <c r="E37">
        <v>0</v>
      </c>
      <c r="F37">
        <f t="shared" si="10"/>
        <v>4</v>
      </c>
      <c r="G37">
        <f t="shared" si="11"/>
        <v>3</v>
      </c>
      <c r="H37">
        <f t="shared" si="12"/>
        <v>4</v>
      </c>
      <c r="I37">
        <v>0</v>
      </c>
      <c r="J37">
        <f t="shared" si="13"/>
        <v>3</v>
      </c>
      <c r="K37">
        <v>0</v>
      </c>
      <c r="L37">
        <f t="shared" si="14"/>
        <v>4</v>
      </c>
      <c r="M37">
        <v>0</v>
      </c>
      <c r="N37">
        <f t="shared" si="15"/>
        <v>3</v>
      </c>
      <c r="O37">
        <v>0</v>
      </c>
      <c r="P37">
        <f>D36+D37</f>
        <v>14</v>
      </c>
      <c r="Q37">
        <f>ROUND(P37*0.09, 0)</f>
        <v>1</v>
      </c>
      <c r="R37">
        <f>ROUND(P37*0.347, 0)</f>
        <v>5</v>
      </c>
      <c r="S37">
        <f>P37*0.244</f>
        <v>3.4159999999999999</v>
      </c>
      <c r="T37">
        <f>P37*0</f>
        <v>0</v>
      </c>
      <c r="U37">
        <f>P37*0.154</f>
        <v>2.1560000000000001</v>
      </c>
      <c r="V37">
        <f>P37*0.045</f>
        <v>0.63</v>
      </c>
      <c r="W37">
        <f>P37*0.12</f>
        <v>1.68</v>
      </c>
      <c r="X37">
        <f>P37*0</f>
        <v>0</v>
      </c>
      <c r="AC37">
        <f>0.0004*P37</f>
        <v>5.5999999999999999E-3</v>
      </c>
      <c r="AD37">
        <f>0.0004*P37</f>
        <v>5.5999999999999999E-3</v>
      </c>
    </row>
    <row r="38" spans="1:31" x14ac:dyDescent="0.35">
      <c r="B38" s="117">
        <v>45658</v>
      </c>
      <c r="C38">
        <v>115</v>
      </c>
      <c r="D38">
        <f t="shared" si="9"/>
        <v>7</v>
      </c>
      <c r="E38">
        <v>0</v>
      </c>
      <c r="F38">
        <f t="shared" si="10"/>
        <v>4</v>
      </c>
      <c r="G38">
        <f t="shared" si="11"/>
        <v>3</v>
      </c>
      <c r="H38">
        <f t="shared" si="12"/>
        <v>4</v>
      </c>
      <c r="I38">
        <v>0</v>
      </c>
      <c r="J38">
        <f t="shared" si="13"/>
        <v>3</v>
      </c>
      <c r="K38">
        <v>0</v>
      </c>
      <c r="L38">
        <f t="shared" si="14"/>
        <v>4</v>
      </c>
      <c r="M38">
        <v>0</v>
      </c>
      <c r="N38">
        <f t="shared" si="15"/>
        <v>3</v>
      </c>
      <c r="O38">
        <v>0</v>
      </c>
    </row>
    <row r="39" spans="1:31" x14ac:dyDescent="0.35">
      <c r="B39" s="117">
        <v>45839</v>
      </c>
      <c r="C39">
        <v>115</v>
      </c>
      <c r="D39">
        <f t="shared" si="9"/>
        <v>7</v>
      </c>
      <c r="E39">
        <v>0</v>
      </c>
      <c r="F39">
        <f t="shared" si="10"/>
        <v>4</v>
      </c>
      <c r="G39">
        <f t="shared" si="11"/>
        <v>3</v>
      </c>
      <c r="H39">
        <f t="shared" si="12"/>
        <v>4</v>
      </c>
      <c r="I39">
        <v>0</v>
      </c>
      <c r="J39">
        <f t="shared" si="13"/>
        <v>3</v>
      </c>
      <c r="K39">
        <v>0</v>
      </c>
      <c r="L39">
        <f t="shared" si="14"/>
        <v>4</v>
      </c>
      <c r="M39">
        <v>0</v>
      </c>
      <c r="N39">
        <f t="shared" si="15"/>
        <v>3</v>
      </c>
      <c r="O39">
        <v>0</v>
      </c>
      <c r="P39">
        <f>P37+D38+D39</f>
        <v>28</v>
      </c>
      <c r="Q39">
        <f>ROUND(P39*0.09, 0)</f>
        <v>3</v>
      </c>
      <c r="R39">
        <f>ROUND(P39*0.347, 0)</f>
        <v>10</v>
      </c>
      <c r="S39">
        <f>P39*0.244</f>
        <v>6.8319999999999999</v>
      </c>
      <c r="T39">
        <f>P39*0</f>
        <v>0</v>
      </c>
      <c r="U39">
        <f>P39*0.154</f>
        <v>4.3120000000000003</v>
      </c>
      <c r="V39">
        <f>P39*0.045</f>
        <v>1.26</v>
      </c>
      <c r="W39">
        <f>P39*0.12</f>
        <v>3.36</v>
      </c>
      <c r="X39">
        <f>P39*0</f>
        <v>0</v>
      </c>
      <c r="AC39">
        <f>0.0004*P39</f>
        <v>1.12E-2</v>
      </c>
      <c r="AD39">
        <f>0.0004*P39</f>
        <v>1.12E-2</v>
      </c>
    </row>
    <row r="40" spans="1:31" x14ac:dyDescent="0.35">
      <c r="B40" s="117">
        <v>46023</v>
      </c>
      <c r="C40">
        <v>115</v>
      </c>
      <c r="D40">
        <f t="shared" si="9"/>
        <v>7</v>
      </c>
      <c r="E40">
        <v>0</v>
      </c>
      <c r="F40">
        <f t="shared" si="10"/>
        <v>4</v>
      </c>
      <c r="G40">
        <f t="shared" si="11"/>
        <v>3</v>
      </c>
      <c r="H40">
        <f t="shared" si="12"/>
        <v>4</v>
      </c>
      <c r="I40">
        <v>0</v>
      </c>
      <c r="J40">
        <f t="shared" si="13"/>
        <v>3</v>
      </c>
      <c r="K40">
        <v>0</v>
      </c>
      <c r="L40">
        <f t="shared" si="14"/>
        <v>4</v>
      </c>
      <c r="M40">
        <v>0</v>
      </c>
      <c r="N40">
        <f t="shared" si="15"/>
        <v>3</v>
      </c>
      <c r="O40">
        <v>0</v>
      </c>
    </row>
    <row r="41" spans="1:31" x14ac:dyDescent="0.35">
      <c r="B41" s="117">
        <v>46204</v>
      </c>
      <c r="C41">
        <v>115</v>
      </c>
      <c r="D41">
        <f t="shared" si="9"/>
        <v>7</v>
      </c>
      <c r="E41">
        <v>0</v>
      </c>
      <c r="F41">
        <f t="shared" si="10"/>
        <v>4</v>
      </c>
      <c r="G41">
        <f t="shared" si="11"/>
        <v>3</v>
      </c>
      <c r="H41">
        <f t="shared" si="12"/>
        <v>4</v>
      </c>
      <c r="I41">
        <v>0</v>
      </c>
      <c r="J41">
        <f t="shared" si="13"/>
        <v>3</v>
      </c>
      <c r="K41">
        <v>0</v>
      </c>
      <c r="L41">
        <f t="shared" si="14"/>
        <v>4</v>
      </c>
      <c r="M41">
        <v>0</v>
      </c>
      <c r="N41">
        <f t="shared" si="15"/>
        <v>3</v>
      </c>
      <c r="O41">
        <v>0</v>
      </c>
      <c r="P41">
        <f>P39+D40+D41</f>
        <v>42</v>
      </c>
      <c r="Q41">
        <f>ROUND(P41*0.09, 0)</f>
        <v>4</v>
      </c>
      <c r="R41">
        <f>ROUND(P41*0.347, 0)</f>
        <v>15</v>
      </c>
      <c r="S41">
        <f>P41*0.244</f>
        <v>10.247999999999999</v>
      </c>
      <c r="T41">
        <f>P41*0</f>
        <v>0</v>
      </c>
      <c r="U41">
        <f>P41*0.154</f>
        <v>6.468</v>
      </c>
      <c r="V41">
        <f>P41*0.045</f>
        <v>1.89</v>
      </c>
      <c r="W41">
        <f>P41*0.12</f>
        <v>5.04</v>
      </c>
      <c r="X41">
        <f>P41*0</f>
        <v>0</v>
      </c>
      <c r="AC41">
        <f>0.0004*P41</f>
        <v>1.6800000000000002E-2</v>
      </c>
      <c r="AD41">
        <f>0.0004*P41</f>
        <v>1.6800000000000002E-2</v>
      </c>
    </row>
    <row r="43" spans="1:31" x14ac:dyDescent="0.35">
      <c r="A43" t="s">
        <v>138</v>
      </c>
      <c r="B43" s="117">
        <v>45292</v>
      </c>
      <c r="C43">
        <v>50</v>
      </c>
      <c r="D43">
        <f t="shared" ref="D43:D48" si="16">ROUND(C43*0.348*7.06*0.536, 0)</f>
        <v>66</v>
      </c>
      <c r="E43">
        <v>0</v>
      </c>
      <c r="F43">
        <f t="shared" ref="F43:F48" si="17">ROUND(D43*0.31, 0)</f>
        <v>20</v>
      </c>
      <c r="G43">
        <f t="shared" ref="G43:G48" si="18">ROUND(D43*0.69, 0)</f>
        <v>46</v>
      </c>
      <c r="H43">
        <f t="shared" ref="H43:H48" si="19">F43</f>
        <v>20</v>
      </c>
      <c r="I43">
        <v>0</v>
      </c>
      <c r="J43">
        <f t="shared" ref="J43:J48" si="20">G43</f>
        <v>46</v>
      </c>
      <c r="K43">
        <v>0</v>
      </c>
      <c r="L43">
        <f t="shared" ref="L43:L48" si="21">F43</f>
        <v>20</v>
      </c>
      <c r="M43">
        <v>0</v>
      </c>
      <c r="N43">
        <f t="shared" ref="N43:N48" si="22">G43</f>
        <v>46</v>
      </c>
      <c r="O43">
        <v>0</v>
      </c>
      <c r="AB43">
        <f t="shared" ref="AB43:AB48" si="23">ROUND($B$23*0.1, 0)</f>
        <v>1883</v>
      </c>
    </row>
    <row r="44" spans="1:31" x14ac:dyDescent="0.35">
      <c r="A44" t="s">
        <v>137</v>
      </c>
      <c r="B44" s="117">
        <v>45474</v>
      </c>
      <c r="C44">
        <v>50</v>
      </c>
      <c r="D44">
        <f t="shared" si="16"/>
        <v>66</v>
      </c>
      <c r="E44">
        <v>0</v>
      </c>
      <c r="F44">
        <f t="shared" si="17"/>
        <v>20</v>
      </c>
      <c r="G44">
        <f t="shared" si="18"/>
        <v>46</v>
      </c>
      <c r="H44">
        <f t="shared" si="19"/>
        <v>20</v>
      </c>
      <c r="I44">
        <v>0</v>
      </c>
      <c r="J44">
        <f t="shared" si="20"/>
        <v>46</v>
      </c>
      <c r="K44">
        <v>0</v>
      </c>
      <c r="L44">
        <f t="shared" si="21"/>
        <v>20</v>
      </c>
      <c r="M44">
        <v>0</v>
      </c>
      <c r="N44">
        <f t="shared" si="22"/>
        <v>46</v>
      </c>
      <c r="O44">
        <v>0</v>
      </c>
      <c r="P44">
        <f>B23+D43+D44</f>
        <v>18965</v>
      </c>
      <c r="Y44">
        <f>ROUND(P44*0.218, 0)</f>
        <v>4134</v>
      </c>
      <c r="Z44">
        <f>ROUND(P44*0.472, 0)</f>
        <v>8951</v>
      </c>
      <c r="AA44">
        <f>ROUND(P44*0.31,0)</f>
        <v>5879</v>
      </c>
      <c r="AB44">
        <f t="shared" si="23"/>
        <v>1883</v>
      </c>
      <c r="AC44">
        <f>0.0004*P44</f>
        <v>7.5860000000000003</v>
      </c>
      <c r="AE44">
        <f>0.0004*P44</f>
        <v>7.5860000000000003</v>
      </c>
    </row>
    <row r="45" spans="1:31" x14ac:dyDescent="0.35">
      <c r="B45" s="117">
        <v>45658</v>
      </c>
      <c r="C45">
        <v>50</v>
      </c>
      <c r="D45">
        <f t="shared" si="16"/>
        <v>66</v>
      </c>
      <c r="E45">
        <v>0</v>
      </c>
      <c r="F45">
        <f t="shared" si="17"/>
        <v>20</v>
      </c>
      <c r="G45">
        <f t="shared" si="18"/>
        <v>46</v>
      </c>
      <c r="H45">
        <f t="shared" si="19"/>
        <v>20</v>
      </c>
      <c r="I45">
        <v>0</v>
      </c>
      <c r="J45">
        <f t="shared" si="20"/>
        <v>46</v>
      </c>
      <c r="K45">
        <v>0</v>
      </c>
      <c r="L45">
        <f t="shared" si="21"/>
        <v>20</v>
      </c>
      <c r="M45">
        <v>0</v>
      </c>
      <c r="N45">
        <f t="shared" si="22"/>
        <v>46</v>
      </c>
      <c r="O45">
        <v>0</v>
      </c>
      <c r="AB45">
        <f t="shared" si="23"/>
        <v>1883</v>
      </c>
    </row>
    <row r="46" spans="1:31" x14ac:dyDescent="0.35">
      <c r="B46" s="117">
        <v>45839</v>
      </c>
      <c r="C46">
        <v>50</v>
      </c>
      <c r="D46">
        <f t="shared" si="16"/>
        <v>66</v>
      </c>
      <c r="E46">
        <v>0</v>
      </c>
      <c r="F46">
        <f t="shared" si="17"/>
        <v>20</v>
      </c>
      <c r="G46">
        <f t="shared" si="18"/>
        <v>46</v>
      </c>
      <c r="H46">
        <f t="shared" si="19"/>
        <v>20</v>
      </c>
      <c r="I46">
        <v>0</v>
      </c>
      <c r="J46">
        <f t="shared" si="20"/>
        <v>46</v>
      </c>
      <c r="K46">
        <v>0</v>
      </c>
      <c r="L46">
        <f t="shared" si="21"/>
        <v>20</v>
      </c>
      <c r="M46">
        <v>0</v>
      </c>
      <c r="N46">
        <f t="shared" si="22"/>
        <v>46</v>
      </c>
      <c r="O46">
        <v>0</v>
      </c>
      <c r="P46">
        <f>P44+D45+D46</f>
        <v>19097</v>
      </c>
      <c r="Y46">
        <f>ROUND(P46*0.218, 0)</f>
        <v>4163</v>
      </c>
      <c r="Z46">
        <f>ROUND(P46*0.472, 0)</f>
        <v>9014</v>
      </c>
      <c r="AA46">
        <f>ROUND(P46*0.31,0)</f>
        <v>5920</v>
      </c>
      <c r="AB46">
        <f t="shared" si="23"/>
        <v>1883</v>
      </c>
      <c r="AC46">
        <f>0.0004*P46</f>
        <v>7.6388000000000007</v>
      </c>
      <c r="AE46">
        <f>0.0004*P46</f>
        <v>7.6388000000000007</v>
      </c>
    </row>
    <row r="47" spans="1:31" x14ac:dyDescent="0.35">
      <c r="B47" s="117">
        <v>46023</v>
      </c>
      <c r="C47">
        <v>50</v>
      </c>
      <c r="D47">
        <f t="shared" si="16"/>
        <v>66</v>
      </c>
      <c r="E47">
        <v>0</v>
      </c>
      <c r="F47">
        <f t="shared" si="17"/>
        <v>20</v>
      </c>
      <c r="G47">
        <f t="shared" si="18"/>
        <v>46</v>
      </c>
      <c r="H47">
        <f t="shared" si="19"/>
        <v>20</v>
      </c>
      <c r="I47">
        <v>0</v>
      </c>
      <c r="J47">
        <f t="shared" si="20"/>
        <v>46</v>
      </c>
      <c r="K47">
        <v>0</v>
      </c>
      <c r="L47">
        <f t="shared" si="21"/>
        <v>20</v>
      </c>
      <c r="M47">
        <v>0</v>
      </c>
      <c r="N47">
        <f t="shared" si="22"/>
        <v>46</v>
      </c>
      <c r="O47">
        <v>0</v>
      </c>
      <c r="AB47">
        <f t="shared" si="23"/>
        <v>1883</v>
      </c>
    </row>
    <row r="48" spans="1:31" x14ac:dyDescent="0.35">
      <c r="B48" s="117">
        <v>46204</v>
      </c>
      <c r="C48">
        <v>50</v>
      </c>
      <c r="D48">
        <f t="shared" si="16"/>
        <v>66</v>
      </c>
      <c r="E48">
        <v>0</v>
      </c>
      <c r="F48">
        <f t="shared" si="17"/>
        <v>20</v>
      </c>
      <c r="G48">
        <f t="shared" si="18"/>
        <v>46</v>
      </c>
      <c r="H48">
        <f t="shared" si="19"/>
        <v>20</v>
      </c>
      <c r="I48">
        <v>0</v>
      </c>
      <c r="J48">
        <f t="shared" si="20"/>
        <v>46</v>
      </c>
      <c r="K48">
        <v>0</v>
      </c>
      <c r="L48">
        <f t="shared" si="21"/>
        <v>20</v>
      </c>
      <c r="M48">
        <v>0</v>
      </c>
      <c r="N48">
        <f t="shared" si="22"/>
        <v>46</v>
      </c>
      <c r="O48">
        <v>0</v>
      </c>
      <c r="P48">
        <f>P46+D47+D48</f>
        <v>19229</v>
      </c>
      <c r="Y48">
        <f>ROUND(P48*0.218, 0)</f>
        <v>4192</v>
      </c>
      <c r="Z48">
        <f>ROUND(P48*0.472, 0)</f>
        <v>9076</v>
      </c>
      <c r="AA48">
        <f>ROUND(P48*0.31,0)</f>
        <v>5961</v>
      </c>
      <c r="AB48">
        <f t="shared" si="23"/>
        <v>1883</v>
      </c>
      <c r="AC48">
        <f>0.0004*P48</f>
        <v>7.6916000000000002</v>
      </c>
      <c r="AE48">
        <f>0.0004*P48</f>
        <v>7.6916000000000002</v>
      </c>
    </row>
    <row r="50" spans="1:31" x14ac:dyDescent="0.35">
      <c r="A50" t="s">
        <v>136</v>
      </c>
      <c r="B50" s="117">
        <v>45292</v>
      </c>
      <c r="C50">
        <v>115</v>
      </c>
      <c r="D50">
        <f t="shared" ref="D50:D55" si="24">ROUND(C50*0.348*1*0.536, 0)</f>
        <v>21</v>
      </c>
      <c r="E50">
        <v>0</v>
      </c>
      <c r="F50">
        <f t="shared" ref="F50:F55" si="25">ROUND(D50*0.31, 0)</f>
        <v>7</v>
      </c>
      <c r="G50">
        <f t="shared" ref="G50:G55" si="26">ROUND(D50*0.69, 0)</f>
        <v>14</v>
      </c>
      <c r="H50">
        <f t="shared" ref="H50:H55" si="27">F50</f>
        <v>7</v>
      </c>
      <c r="I50">
        <v>0</v>
      </c>
      <c r="J50">
        <f t="shared" ref="J50:J55" si="28">G50</f>
        <v>14</v>
      </c>
      <c r="K50">
        <v>0</v>
      </c>
      <c r="L50">
        <f t="shared" ref="L50:L55" si="29">F50</f>
        <v>7</v>
      </c>
      <c r="M50">
        <v>0</v>
      </c>
      <c r="N50">
        <f t="shared" ref="N50:N55" si="30">G50</f>
        <v>14</v>
      </c>
      <c r="O50">
        <v>0</v>
      </c>
    </row>
    <row r="51" spans="1:31" x14ac:dyDescent="0.35">
      <c r="A51" t="s">
        <v>135</v>
      </c>
      <c r="B51" s="117">
        <v>45474</v>
      </c>
      <c r="C51">
        <v>115</v>
      </c>
      <c r="D51">
        <f t="shared" si="24"/>
        <v>21</v>
      </c>
      <c r="E51">
        <v>0</v>
      </c>
      <c r="F51">
        <f t="shared" si="25"/>
        <v>7</v>
      </c>
      <c r="G51">
        <f t="shared" si="26"/>
        <v>14</v>
      </c>
      <c r="H51">
        <f t="shared" si="27"/>
        <v>7</v>
      </c>
      <c r="I51">
        <v>0</v>
      </c>
      <c r="J51">
        <f t="shared" si="28"/>
        <v>14</v>
      </c>
      <c r="K51">
        <v>0</v>
      </c>
      <c r="L51">
        <f t="shared" si="29"/>
        <v>7</v>
      </c>
      <c r="M51">
        <v>0</v>
      </c>
      <c r="N51">
        <f t="shared" si="30"/>
        <v>14</v>
      </c>
      <c r="O51">
        <v>0</v>
      </c>
      <c r="P51">
        <f>D50+D51</f>
        <v>42</v>
      </c>
      <c r="Y51">
        <f>ROUND(P51*0.218, 0)</f>
        <v>9</v>
      </c>
      <c r="Z51">
        <f>ROUND(P51*0.472, 0)</f>
        <v>20</v>
      </c>
      <c r="AA51">
        <f>ROUND(P51*0.31,0)</f>
        <v>13</v>
      </c>
      <c r="AC51">
        <f>0.0004*P51</f>
        <v>1.6800000000000002E-2</v>
      </c>
      <c r="AE51">
        <f>0.0004*P51</f>
        <v>1.6800000000000002E-2</v>
      </c>
    </row>
    <row r="52" spans="1:31" x14ac:dyDescent="0.35">
      <c r="B52" s="117">
        <v>45658</v>
      </c>
      <c r="C52">
        <v>115</v>
      </c>
      <c r="D52">
        <f t="shared" si="24"/>
        <v>21</v>
      </c>
      <c r="E52">
        <v>0</v>
      </c>
      <c r="F52">
        <f t="shared" si="25"/>
        <v>7</v>
      </c>
      <c r="G52">
        <f t="shared" si="26"/>
        <v>14</v>
      </c>
      <c r="H52">
        <f t="shared" si="27"/>
        <v>7</v>
      </c>
      <c r="I52">
        <v>0</v>
      </c>
      <c r="J52">
        <f t="shared" si="28"/>
        <v>14</v>
      </c>
      <c r="K52">
        <v>0</v>
      </c>
      <c r="L52">
        <f t="shared" si="29"/>
        <v>7</v>
      </c>
      <c r="M52">
        <v>0</v>
      </c>
      <c r="N52">
        <f t="shared" si="30"/>
        <v>14</v>
      </c>
      <c r="O52">
        <v>0</v>
      </c>
    </row>
    <row r="53" spans="1:31" x14ac:dyDescent="0.35">
      <c r="B53" s="117">
        <v>45839</v>
      </c>
      <c r="C53">
        <v>115</v>
      </c>
      <c r="D53">
        <f t="shared" si="24"/>
        <v>21</v>
      </c>
      <c r="E53">
        <v>0</v>
      </c>
      <c r="F53">
        <f t="shared" si="25"/>
        <v>7</v>
      </c>
      <c r="G53">
        <f t="shared" si="26"/>
        <v>14</v>
      </c>
      <c r="H53">
        <f t="shared" si="27"/>
        <v>7</v>
      </c>
      <c r="I53">
        <v>0</v>
      </c>
      <c r="J53">
        <f t="shared" si="28"/>
        <v>14</v>
      </c>
      <c r="K53">
        <v>0</v>
      </c>
      <c r="L53">
        <f t="shared" si="29"/>
        <v>7</v>
      </c>
      <c r="M53">
        <v>0</v>
      </c>
      <c r="N53">
        <f t="shared" si="30"/>
        <v>14</v>
      </c>
      <c r="O53">
        <v>0</v>
      </c>
      <c r="P53">
        <f>P51+D52+D53</f>
        <v>84</v>
      </c>
      <c r="Y53">
        <f>ROUND(P53*0.218, 0)</f>
        <v>18</v>
      </c>
      <c r="Z53">
        <f>ROUND(P53*0.472, 0)</f>
        <v>40</v>
      </c>
      <c r="AA53">
        <f>ROUND(P53*0.31,0)</f>
        <v>26</v>
      </c>
      <c r="AC53">
        <f>0.0004*P53</f>
        <v>3.3600000000000005E-2</v>
      </c>
      <c r="AE53">
        <f>0.0004*P53</f>
        <v>3.3600000000000005E-2</v>
      </c>
    </row>
    <row r="54" spans="1:31" x14ac:dyDescent="0.35">
      <c r="B54" s="117">
        <v>46023</v>
      </c>
      <c r="C54">
        <v>115</v>
      </c>
      <c r="D54">
        <f t="shared" si="24"/>
        <v>21</v>
      </c>
      <c r="E54">
        <v>0</v>
      </c>
      <c r="F54">
        <f t="shared" si="25"/>
        <v>7</v>
      </c>
      <c r="G54">
        <f t="shared" si="26"/>
        <v>14</v>
      </c>
      <c r="H54">
        <f t="shared" si="27"/>
        <v>7</v>
      </c>
      <c r="I54">
        <v>0</v>
      </c>
      <c r="J54">
        <f t="shared" si="28"/>
        <v>14</v>
      </c>
      <c r="K54">
        <v>0</v>
      </c>
      <c r="L54">
        <f t="shared" si="29"/>
        <v>7</v>
      </c>
      <c r="M54">
        <v>0</v>
      </c>
      <c r="N54">
        <f t="shared" si="30"/>
        <v>14</v>
      </c>
      <c r="O54">
        <v>0</v>
      </c>
    </row>
    <row r="55" spans="1:31" x14ac:dyDescent="0.35">
      <c r="B55" s="117">
        <v>46204</v>
      </c>
      <c r="C55">
        <v>115</v>
      </c>
      <c r="D55">
        <f t="shared" si="24"/>
        <v>21</v>
      </c>
      <c r="E55">
        <v>0</v>
      </c>
      <c r="F55">
        <f t="shared" si="25"/>
        <v>7</v>
      </c>
      <c r="G55">
        <f t="shared" si="26"/>
        <v>14</v>
      </c>
      <c r="H55">
        <f t="shared" si="27"/>
        <v>7</v>
      </c>
      <c r="I55">
        <v>0</v>
      </c>
      <c r="J55">
        <f t="shared" si="28"/>
        <v>14</v>
      </c>
      <c r="K55">
        <v>0</v>
      </c>
      <c r="L55">
        <f t="shared" si="29"/>
        <v>7</v>
      </c>
      <c r="M55">
        <v>0</v>
      </c>
      <c r="N55">
        <f t="shared" si="30"/>
        <v>14</v>
      </c>
      <c r="O55">
        <v>0</v>
      </c>
      <c r="P55">
        <f>P53+D54+D55</f>
        <v>126</v>
      </c>
      <c r="Y55">
        <f>ROUND(P55*0.218, 0)</f>
        <v>27</v>
      </c>
      <c r="Z55">
        <f>ROUND(P55*0.472, 0)</f>
        <v>59</v>
      </c>
      <c r="AA55">
        <f>ROUND(P55*0.31,0)</f>
        <v>39</v>
      </c>
      <c r="AC55">
        <f>0.0004*P55</f>
        <v>5.04E-2</v>
      </c>
      <c r="AE55">
        <f>0.0004*P55</f>
        <v>5.04E-2</v>
      </c>
    </row>
    <row r="57" spans="1:31" x14ac:dyDescent="0.35">
      <c r="A57" t="s">
        <v>134</v>
      </c>
      <c r="B57" s="117">
        <v>45292</v>
      </c>
      <c r="C57">
        <f t="shared" ref="C57:C62" si="31">+C29+C36</f>
        <v>165</v>
      </c>
      <c r="D57">
        <f t="shared" ref="D57:O57" si="32">+D29+D36+D43+D50</f>
        <v>104</v>
      </c>
      <c r="E57">
        <f t="shared" si="32"/>
        <v>50</v>
      </c>
      <c r="F57">
        <f t="shared" si="32"/>
        <v>37</v>
      </c>
      <c r="G57">
        <f t="shared" si="32"/>
        <v>67</v>
      </c>
      <c r="H57">
        <f t="shared" si="32"/>
        <v>37</v>
      </c>
      <c r="I57">
        <f t="shared" si="32"/>
        <v>0</v>
      </c>
      <c r="J57">
        <f t="shared" si="32"/>
        <v>67</v>
      </c>
      <c r="K57">
        <f t="shared" si="32"/>
        <v>0</v>
      </c>
      <c r="L57">
        <f t="shared" si="32"/>
        <v>37</v>
      </c>
      <c r="M57">
        <f t="shared" si="32"/>
        <v>0</v>
      </c>
      <c r="N57">
        <f t="shared" si="32"/>
        <v>67</v>
      </c>
      <c r="O57">
        <f t="shared" si="32"/>
        <v>0</v>
      </c>
      <c r="P57">
        <f>+P29+P36+P43+P50</f>
        <v>0</v>
      </c>
      <c r="Q57">
        <f t="shared" ref="Q57:Q62" si="33">+Q29+Q36+Y43+Y50</f>
        <v>0</v>
      </c>
      <c r="R57">
        <f t="shared" ref="R57:AE57" si="34">+R29+R36+R43+R50</f>
        <v>0</v>
      </c>
      <c r="S57">
        <f t="shared" si="34"/>
        <v>0</v>
      </c>
      <c r="T57">
        <f t="shared" si="34"/>
        <v>0</v>
      </c>
      <c r="U57">
        <f t="shared" si="34"/>
        <v>0</v>
      </c>
      <c r="V57">
        <f t="shared" si="34"/>
        <v>0</v>
      </c>
      <c r="W57">
        <f t="shared" si="34"/>
        <v>0</v>
      </c>
      <c r="X57">
        <f t="shared" si="34"/>
        <v>0</v>
      </c>
      <c r="Y57">
        <f t="shared" si="34"/>
        <v>0</v>
      </c>
      <c r="Z57">
        <f t="shared" si="34"/>
        <v>0</v>
      </c>
      <c r="AA57">
        <f t="shared" si="34"/>
        <v>0</v>
      </c>
      <c r="AB57">
        <f>+AB29+AB36+AB43+AB50</f>
        <v>2162</v>
      </c>
      <c r="AC57">
        <f t="shared" si="34"/>
        <v>0</v>
      </c>
      <c r="AD57">
        <f t="shared" si="34"/>
        <v>0</v>
      </c>
      <c r="AE57">
        <f t="shared" si="34"/>
        <v>0</v>
      </c>
    </row>
    <row r="58" spans="1:31" x14ac:dyDescent="0.35">
      <c r="B58" s="117">
        <v>45474</v>
      </c>
      <c r="C58">
        <f t="shared" si="31"/>
        <v>165</v>
      </c>
      <c r="D58">
        <f t="shared" ref="D58:O58" si="35">+D30+D37+D44+D51</f>
        <v>104</v>
      </c>
      <c r="E58">
        <f t="shared" si="35"/>
        <v>50</v>
      </c>
      <c r="F58">
        <f t="shared" si="35"/>
        <v>37</v>
      </c>
      <c r="G58">
        <f t="shared" si="35"/>
        <v>67</v>
      </c>
      <c r="H58">
        <f t="shared" si="35"/>
        <v>37</v>
      </c>
      <c r="I58">
        <f t="shared" si="35"/>
        <v>0</v>
      </c>
      <c r="J58">
        <f t="shared" si="35"/>
        <v>67</v>
      </c>
      <c r="K58">
        <f t="shared" si="35"/>
        <v>0</v>
      </c>
      <c r="L58">
        <f t="shared" si="35"/>
        <v>37</v>
      </c>
      <c r="M58">
        <f t="shared" si="35"/>
        <v>0</v>
      </c>
      <c r="N58">
        <f t="shared" si="35"/>
        <v>67</v>
      </c>
      <c r="O58">
        <f t="shared" si="35"/>
        <v>0</v>
      </c>
      <c r="P58">
        <f>+P30+P37+P44+P51</f>
        <v>21828</v>
      </c>
      <c r="Q58">
        <f t="shared" si="33"/>
        <v>4397</v>
      </c>
      <c r="R58">
        <f t="shared" ref="R58:AC58" si="36">+R30+R37+R44+R51</f>
        <v>979</v>
      </c>
      <c r="S58">
        <f t="shared" si="36"/>
        <v>688.32400000000007</v>
      </c>
      <c r="T58">
        <f t="shared" si="36"/>
        <v>0</v>
      </c>
      <c r="U58">
        <f t="shared" si="36"/>
        <v>434.43400000000003</v>
      </c>
      <c r="V58">
        <f t="shared" si="36"/>
        <v>126.94499999999999</v>
      </c>
      <c r="W58">
        <f t="shared" si="36"/>
        <v>338.52</v>
      </c>
      <c r="X58">
        <f t="shared" si="36"/>
        <v>0</v>
      </c>
      <c r="Y58">
        <f t="shared" si="36"/>
        <v>4143</v>
      </c>
      <c r="Z58">
        <f t="shared" si="36"/>
        <v>8971</v>
      </c>
      <c r="AA58">
        <f t="shared" si="36"/>
        <v>5892</v>
      </c>
      <c r="AB58">
        <f t="shared" si="36"/>
        <v>2162</v>
      </c>
      <c r="AC58">
        <f t="shared" si="36"/>
        <v>8.7312000000000012</v>
      </c>
      <c r="AD58">
        <f>+AD30+AD37</f>
        <v>1.1284000000000001</v>
      </c>
      <c r="AE58">
        <f>AE44+AE51</f>
        <v>7.6028000000000002</v>
      </c>
    </row>
    <row r="59" spans="1:31" x14ac:dyDescent="0.35">
      <c r="B59" s="117">
        <v>45658</v>
      </c>
      <c r="C59">
        <f t="shared" si="31"/>
        <v>165</v>
      </c>
      <c r="D59">
        <f t="shared" ref="D59:O59" si="37">+D31+D38+D45+D52</f>
        <v>104</v>
      </c>
      <c r="E59">
        <f t="shared" si="37"/>
        <v>50</v>
      </c>
      <c r="F59">
        <f t="shared" si="37"/>
        <v>37</v>
      </c>
      <c r="G59">
        <f t="shared" si="37"/>
        <v>67</v>
      </c>
      <c r="H59">
        <f t="shared" si="37"/>
        <v>37</v>
      </c>
      <c r="I59">
        <f t="shared" si="37"/>
        <v>0</v>
      </c>
      <c r="J59">
        <f t="shared" si="37"/>
        <v>67</v>
      </c>
      <c r="K59">
        <f t="shared" si="37"/>
        <v>0</v>
      </c>
      <c r="L59">
        <f t="shared" si="37"/>
        <v>37</v>
      </c>
      <c r="M59">
        <f t="shared" si="37"/>
        <v>0</v>
      </c>
      <c r="N59">
        <f t="shared" si="37"/>
        <v>67</v>
      </c>
      <c r="O59">
        <f t="shared" si="37"/>
        <v>0</v>
      </c>
      <c r="P59">
        <f>+P31+P38+P45+P52</f>
        <v>0</v>
      </c>
      <c r="Q59">
        <f t="shared" si="33"/>
        <v>0</v>
      </c>
      <c r="R59">
        <f t="shared" ref="R59:AC59" si="38">+R31+R38+R45+R52</f>
        <v>0</v>
      </c>
      <c r="S59">
        <f t="shared" si="38"/>
        <v>0</v>
      </c>
      <c r="T59">
        <f t="shared" si="38"/>
        <v>0</v>
      </c>
      <c r="U59">
        <f t="shared" si="38"/>
        <v>0</v>
      </c>
      <c r="V59">
        <f t="shared" si="38"/>
        <v>0</v>
      </c>
      <c r="W59">
        <f t="shared" si="38"/>
        <v>0</v>
      </c>
      <c r="X59">
        <f t="shared" si="38"/>
        <v>0</v>
      </c>
      <c r="Y59">
        <f t="shared" si="38"/>
        <v>0</v>
      </c>
      <c r="Z59">
        <f t="shared" si="38"/>
        <v>0</v>
      </c>
      <c r="AA59">
        <f t="shared" si="38"/>
        <v>0</v>
      </c>
      <c r="AB59">
        <f t="shared" si="38"/>
        <v>2162</v>
      </c>
      <c r="AC59">
        <f t="shared" si="38"/>
        <v>0</v>
      </c>
      <c r="AD59">
        <f>+AD31+AD38+AD45+AD52</f>
        <v>0</v>
      </c>
      <c r="AE59">
        <f>+AE31+AE38+AE45+AE52</f>
        <v>0</v>
      </c>
    </row>
    <row r="60" spans="1:31" x14ac:dyDescent="0.35">
      <c r="B60" s="117">
        <v>45839</v>
      </c>
      <c r="C60">
        <f t="shared" si="31"/>
        <v>165</v>
      </c>
      <c r="D60">
        <f t="shared" ref="D60:P60" si="39">+D32+D39+D46+D53</f>
        <v>104</v>
      </c>
      <c r="E60">
        <f t="shared" si="39"/>
        <v>50</v>
      </c>
      <c r="F60">
        <f t="shared" si="39"/>
        <v>37</v>
      </c>
      <c r="G60">
        <f t="shared" si="39"/>
        <v>67</v>
      </c>
      <c r="H60">
        <f t="shared" si="39"/>
        <v>37</v>
      </c>
      <c r="I60">
        <f t="shared" si="39"/>
        <v>0</v>
      </c>
      <c r="J60">
        <f t="shared" si="39"/>
        <v>67</v>
      </c>
      <c r="K60">
        <f t="shared" si="39"/>
        <v>0</v>
      </c>
      <c r="L60">
        <f t="shared" si="39"/>
        <v>37</v>
      </c>
      <c r="M60">
        <f t="shared" si="39"/>
        <v>0</v>
      </c>
      <c r="N60">
        <f t="shared" si="39"/>
        <v>67</v>
      </c>
      <c r="O60">
        <f t="shared" si="39"/>
        <v>0</v>
      </c>
      <c r="P60">
        <f t="shared" si="39"/>
        <v>22036</v>
      </c>
      <c r="Q60">
        <f t="shared" si="33"/>
        <v>4438</v>
      </c>
      <c r="R60">
        <f t="shared" ref="R60:AC60" si="40">+R32+R39+R46+R53</f>
        <v>991</v>
      </c>
      <c r="S60">
        <f t="shared" si="40"/>
        <v>696.62</v>
      </c>
      <c r="T60">
        <f t="shared" si="40"/>
        <v>0</v>
      </c>
      <c r="U60">
        <f t="shared" si="40"/>
        <v>439.67</v>
      </c>
      <c r="V60">
        <f t="shared" si="40"/>
        <v>128.47499999999999</v>
      </c>
      <c r="W60">
        <f t="shared" si="40"/>
        <v>342.6</v>
      </c>
      <c r="X60">
        <f t="shared" si="40"/>
        <v>0</v>
      </c>
      <c r="Y60">
        <f t="shared" si="40"/>
        <v>4181</v>
      </c>
      <c r="Z60">
        <f t="shared" si="40"/>
        <v>9054</v>
      </c>
      <c r="AA60">
        <f t="shared" si="40"/>
        <v>5946</v>
      </c>
      <c r="AB60">
        <f t="shared" si="40"/>
        <v>2162</v>
      </c>
      <c r="AC60">
        <f t="shared" si="40"/>
        <v>8.8144000000000009</v>
      </c>
      <c r="AD60">
        <f>+AD32+AD39</f>
        <v>1.1420000000000001</v>
      </c>
      <c r="AE60">
        <f>+AE46+AE53</f>
        <v>7.6724000000000006</v>
      </c>
    </row>
    <row r="61" spans="1:31" x14ac:dyDescent="0.35">
      <c r="B61" s="117">
        <v>46023</v>
      </c>
      <c r="C61">
        <f t="shared" si="31"/>
        <v>165</v>
      </c>
      <c r="D61">
        <f t="shared" ref="D61:P61" si="41">+D33+D40+D47+D54</f>
        <v>104</v>
      </c>
      <c r="E61">
        <f t="shared" si="41"/>
        <v>50</v>
      </c>
      <c r="F61">
        <f t="shared" si="41"/>
        <v>37</v>
      </c>
      <c r="G61">
        <f t="shared" si="41"/>
        <v>67</v>
      </c>
      <c r="H61">
        <f t="shared" si="41"/>
        <v>37</v>
      </c>
      <c r="I61">
        <f t="shared" si="41"/>
        <v>0</v>
      </c>
      <c r="J61">
        <f t="shared" si="41"/>
        <v>67</v>
      </c>
      <c r="K61">
        <f t="shared" si="41"/>
        <v>0</v>
      </c>
      <c r="L61">
        <f t="shared" si="41"/>
        <v>37</v>
      </c>
      <c r="M61">
        <f t="shared" si="41"/>
        <v>0</v>
      </c>
      <c r="N61">
        <f t="shared" si="41"/>
        <v>67</v>
      </c>
      <c r="O61">
        <f t="shared" si="41"/>
        <v>0</v>
      </c>
      <c r="P61">
        <f t="shared" si="41"/>
        <v>0</v>
      </c>
      <c r="Q61">
        <f t="shared" si="33"/>
        <v>0</v>
      </c>
      <c r="R61">
        <f t="shared" ref="R61:AC61" si="42">+R33+R40+R47+R54</f>
        <v>0</v>
      </c>
      <c r="S61">
        <f t="shared" si="42"/>
        <v>0</v>
      </c>
      <c r="T61">
        <f t="shared" si="42"/>
        <v>0</v>
      </c>
      <c r="U61">
        <f t="shared" si="42"/>
        <v>0</v>
      </c>
      <c r="V61">
        <f t="shared" si="42"/>
        <v>0</v>
      </c>
      <c r="W61">
        <f t="shared" si="42"/>
        <v>0</v>
      </c>
      <c r="X61">
        <f t="shared" si="42"/>
        <v>0</v>
      </c>
      <c r="Y61">
        <f t="shared" si="42"/>
        <v>0</v>
      </c>
      <c r="Z61">
        <f t="shared" si="42"/>
        <v>0</v>
      </c>
      <c r="AA61">
        <f t="shared" si="42"/>
        <v>0</v>
      </c>
      <c r="AB61">
        <f t="shared" si="42"/>
        <v>2162</v>
      </c>
      <c r="AC61">
        <f t="shared" si="42"/>
        <v>0</v>
      </c>
      <c r="AD61">
        <f>+AD33+AD40+AD47+AE54</f>
        <v>0</v>
      </c>
      <c r="AE61">
        <f>+AE33+AE40+AE47+AF54</f>
        <v>0</v>
      </c>
    </row>
    <row r="62" spans="1:31" x14ac:dyDescent="0.35">
      <c r="B62" s="117">
        <v>46204</v>
      </c>
      <c r="C62">
        <f t="shared" si="31"/>
        <v>165</v>
      </c>
      <c r="D62">
        <f t="shared" ref="D62:P62" si="43">+D34+D41+D48+D55</f>
        <v>104</v>
      </c>
      <c r="E62">
        <f t="shared" si="43"/>
        <v>50</v>
      </c>
      <c r="F62">
        <f t="shared" si="43"/>
        <v>37</v>
      </c>
      <c r="G62">
        <f t="shared" si="43"/>
        <v>67</v>
      </c>
      <c r="H62">
        <f t="shared" si="43"/>
        <v>37</v>
      </c>
      <c r="I62">
        <f t="shared" si="43"/>
        <v>0</v>
      </c>
      <c r="J62">
        <f t="shared" si="43"/>
        <v>67</v>
      </c>
      <c r="K62">
        <f t="shared" si="43"/>
        <v>0</v>
      </c>
      <c r="L62">
        <f t="shared" si="43"/>
        <v>37</v>
      </c>
      <c r="M62">
        <f t="shared" si="43"/>
        <v>0</v>
      </c>
      <c r="N62">
        <f t="shared" si="43"/>
        <v>67</v>
      </c>
      <c r="O62">
        <f t="shared" si="43"/>
        <v>0</v>
      </c>
      <c r="P62">
        <f t="shared" si="43"/>
        <v>22244</v>
      </c>
      <c r="Q62">
        <f t="shared" si="33"/>
        <v>4479</v>
      </c>
      <c r="R62">
        <f t="shared" ref="R62:AC62" si="44">+R34+R41+R48+R55</f>
        <v>1003</v>
      </c>
      <c r="S62">
        <f t="shared" si="44"/>
        <v>704.91600000000005</v>
      </c>
      <c r="T62">
        <f t="shared" si="44"/>
        <v>0</v>
      </c>
      <c r="U62">
        <f t="shared" si="44"/>
        <v>444.90600000000001</v>
      </c>
      <c r="V62">
        <f t="shared" si="44"/>
        <v>130.005</v>
      </c>
      <c r="W62">
        <f t="shared" si="44"/>
        <v>346.68</v>
      </c>
      <c r="X62">
        <f t="shared" si="44"/>
        <v>0</v>
      </c>
      <c r="Y62">
        <f t="shared" si="44"/>
        <v>4219</v>
      </c>
      <c r="Z62">
        <f t="shared" si="44"/>
        <v>9135</v>
      </c>
      <c r="AA62">
        <f t="shared" si="44"/>
        <v>6000</v>
      </c>
      <c r="AB62">
        <f>+AB34+AB41+AB48+AB55</f>
        <v>2162</v>
      </c>
      <c r="AC62">
        <f t="shared" si="44"/>
        <v>8.8976000000000006</v>
      </c>
      <c r="AD62">
        <f>+AD34+AD41</f>
        <v>1.1556</v>
      </c>
      <c r="AE62">
        <f>AE48+AE55</f>
        <v>7.742</v>
      </c>
    </row>
    <row r="64" spans="1:31" x14ac:dyDescent="0.35">
      <c r="A64" t="s">
        <v>134</v>
      </c>
      <c r="B64" t="s">
        <v>190</v>
      </c>
      <c r="C64">
        <f>C57+C58</f>
        <v>330</v>
      </c>
      <c r="D64">
        <f t="shared" ref="D64:AE64" si="45">D57+D58</f>
        <v>208</v>
      </c>
      <c r="E64">
        <f t="shared" si="45"/>
        <v>100</v>
      </c>
      <c r="F64">
        <f>F57+F58</f>
        <v>74</v>
      </c>
      <c r="G64">
        <f t="shared" si="45"/>
        <v>134</v>
      </c>
      <c r="H64">
        <f t="shared" si="45"/>
        <v>74</v>
      </c>
      <c r="I64">
        <f t="shared" si="45"/>
        <v>0</v>
      </c>
      <c r="J64">
        <f t="shared" si="45"/>
        <v>134</v>
      </c>
      <c r="K64">
        <f t="shared" si="45"/>
        <v>0</v>
      </c>
      <c r="L64">
        <f t="shared" si="45"/>
        <v>74</v>
      </c>
      <c r="M64">
        <f t="shared" si="45"/>
        <v>0</v>
      </c>
      <c r="N64">
        <f t="shared" si="45"/>
        <v>134</v>
      </c>
      <c r="O64">
        <f t="shared" si="45"/>
        <v>0</v>
      </c>
      <c r="P64">
        <f>P57+P58</f>
        <v>21828</v>
      </c>
      <c r="Q64">
        <f t="shared" si="45"/>
        <v>4397</v>
      </c>
      <c r="R64">
        <f t="shared" si="45"/>
        <v>979</v>
      </c>
      <c r="S64">
        <f t="shared" si="45"/>
        <v>688.32400000000007</v>
      </c>
      <c r="T64">
        <f t="shared" si="45"/>
        <v>0</v>
      </c>
      <c r="U64">
        <f t="shared" si="45"/>
        <v>434.43400000000003</v>
      </c>
      <c r="V64">
        <f t="shared" si="45"/>
        <v>126.94499999999999</v>
      </c>
      <c r="W64">
        <f t="shared" si="45"/>
        <v>338.52</v>
      </c>
      <c r="X64">
        <f t="shared" si="45"/>
        <v>0</v>
      </c>
      <c r="Y64">
        <f t="shared" si="45"/>
        <v>4143</v>
      </c>
      <c r="Z64">
        <f t="shared" si="45"/>
        <v>8971</v>
      </c>
      <c r="AA64">
        <f t="shared" si="45"/>
        <v>5892</v>
      </c>
      <c r="AB64">
        <f t="shared" si="45"/>
        <v>4324</v>
      </c>
      <c r="AC64">
        <f t="shared" si="45"/>
        <v>8.7312000000000012</v>
      </c>
      <c r="AD64">
        <f t="shared" si="45"/>
        <v>1.1284000000000001</v>
      </c>
      <c r="AE64">
        <f t="shared" si="45"/>
        <v>7.6028000000000002</v>
      </c>
    </row>
    <row r="65" spans="1:31" x14ac:dyDescent="0.35">
      <c r="B65" t="s">
        <v>191</v>
      </c>
      <c r="C65">
        <f t="shared" ref="C65:AE65" si="46">C59+C60</f>
        <v>330</v>
      </c>
      <c r="D65">
        <f t="shared" si="46"/>
        <v>208</v>
      </c>
      <c r="E65">
        <f t="shared" si="46"/>
        <v>100</v>
      </c>
      <c r="F65">
        <f t="shared" si="46"/>
        <v>74</v>
      </c>
      <c r="G65">
        <f t="shared" si="46"/>
        <v>134</v>
      </c>
      <c r="H65">
        <f t="shared" si="46"/>
        <v>74</v>
      </c>
      <c r="I65">
        <f t="shared" si="46"/>
        <v>0</v>
      </c>
      <c r="J65">
        <f t="shared" si="46"/>
        <v>134</v>
      </c>
      <c r="K65">
        <f t="shared" si="46"/>
        <v>0</v>
      </c>
      <c r="L65">
        <f t="shared" si="46"/>
        <v>74</v>
      </c>
      <c r="M65">
        <f t="shared" si="46"/>
        <v>0</v>
      </c>
      <c r="N65">
        <f t="shared" si="46"/>
        <v>134</v>
      </c>
      <c r="O65">
        <f t="shared" si="46"/>
        <v>0</v>
      </c>
      <c r="P65">
        <f t="shared" si="46"/>
        <v>22036</v>
      </c>
      <c r="Q65">
        <f t="shared" si="46"/>
        <v>4438</v>
      </c>
      <c r="R65">
        <f t="shared" si="46"/>
        <v>991</v>
      </c>
      <c r="S65">
        <f t="shared" si="46"/>
        <v>696.62</v>
      </c>
      <c r="T65">
        <f t="shared" si="46"/>
        <v>0</v>
      </c>
      <c r="U65">
        <f t="shared" si="46"/>
        <v>439.67</v>
      </c>
      <c r="V65">
        <f t="shared" si="46"/>
        <v>128.47499999999999</v>
      </c>
      <c r="W65">
        <f t="shared" si="46"/>
        <v>342.6</v>
      </c>
      <c r="X65">
        <f t="shared" si="46"/>
        <v>0</v>
      </c>
      <c r="Y65">
        <f t="shared" si="46"/>
        <v>4181</v>
      </c>
      <c r="Z65">
        <f t="shared" si="46"/>
        <v>9054</v>
      </c>
      <c r="AA65">
        <f t="shared" si="46"/>
        <v>5946</v>
      </c>
      <c r="AB65">
        <f t="shared" si="46"/>
        <v>4324</v>
      </c>
      <c r="AC65">
        <f t="shared" si="46"/>
        <v>8.8144000000000009</v>
      </c>
      <c r="AD65">
        <f t="shared" si="46"/>
        <v>1.1420000000000001</v>
      </c>
      <c r="AE65">
        <f t="shared" si="46"/>
        <v>7.6724000000000006</v>
      </c>
    </row>
    <row r="66" spans="1:31" x14ac:dyDescent="0.35">
      <c r="B66" t="s">
        <v>192</v>
      </c>
      <c r="C66">
        <f t="shared" ref="C66:AE66" si="47">C61+C62</f>
        <v>330</v>
      </c>
      <c r="D66">
        <f t="shared" si="47"/>
        <v>208</v>
      </c>
      <c r="E66">
        <f t="shared" si="47"/>
        <v>100</v>
      </c>
      <c r="F66">
        <f t="shared" si="47"/>
        <v>74</v>
      </c>
      <c r="G66">
        <f t="shared" si="47"/>
        <v>134</v>
      </c>
      <c r="H66">
        <f t="shared" si="47"/>
        <v>74</v>
      </c>
      <c r="I66">
        <f t="shared" si="47"/>
        <v>0</v>
      </c>
      <c r="J66">
        <f t="shared" si="47"/>
        <v>134</v>
      </c>
      <c r="K66">
        <f t="shared" si="47"/>
        <v>0</v>
      </c>
      <c r="L66">
        <f t="shared" si="47"/>
        <v>74</v>
      </c>
      <c r="M66">
        <f t="shared" si="47"/>
        <v>0</v>
      </c>
      <c r="N66">
        <f t="shared" si="47"/>
        <v>134</v>
      </c>
      <c r="O66">
        <f t="shared" si="47"/>
        <v>0</v>
      </c>
      <c r="P66">
        <f t="shared" si="47"/>
        <v>22244</v>
      </c>
      <c r="Q66">
        <f t="shared" si="47"/>
        <v>4479</v>
      </c>
      <c r="R66">
        <f t="shared" si="47"/>
        <v>1003</v>
      </c>
      <c r="S66">
        <f t="shared" si="47"/>
        <v>704.91600000000005</v>
      </c>
      <c r="T66">
        <f t="shared" si="47"/>
        <v>0</v>
      </c>
      <c r="U66">
        <f t="shared" si="47"/>
        <v>444.90600000000001</v>
      </c>
      <c r="V66">
        <f t="shared" si="47"/>
        <v>130.005</v>
      </c>
      <c r="W66">
        <f t="shared" si="47"/>
        <v>346.68</v>
      </c>
      <c r="X66">
        <f t="shared" si="47"/>
        <v>0</v>
      </c>
      <c r="Y66">
        <f t="shared" si="47"/>
        <v>4219</v>
      </c>
      <c r="Z66">
        <f t="shared" si="47"/>
        <v>9135</v>
      </c>
      <c r="AA66">
        <f t="shared" si="47"/>
        <v>6000</v>
      </c>
      <c r="AB66">
        <f t="shared" si="47"/>
        <v>4324</v>
      </c>
      <c r="AC66">
        <f t="shared" si="47"/>
        <v>8.8976000000000006</v>
      </c>
      <c r="AD66">
        <f t="shared" si="47"/>
        <v>1.1556</v>
      </c>
      <c r="AE66">
        <f t="shared" si="47"/>
        <v>7.742</v>
      </c>
    </row>
    <row r="70" spans="1:31" x14ac:dyDescent="0.35">
      <c r="A70" t="s">
        <v>133</v>
      </c>
    </row>
    <row r="71" spans="1:31" x14ac:dyDescent="0.35">
      <c r="A71" t="s">
        <v>132</v>
      </c>
    </row>
    <row r="72" spans="1:31" x14ac:dyDescent="0.35">
      <c r="A72" t="s">
        <v>131</v>
      </c>
    </row>
    <row r="73" spans="1:31" x14ac:dyDescent="0.35">
      <c r="A73" t="s">
        <v>130</v>
      </c>
    </row>
    <row r="74" spans="1:31" x14ac:dyDescent="0.35">
      <c r="A74" t="s">
        <v>129</v>
      </c>
    </row>
    <row r="75" spans="1:31" x14ac:dyDescent="0.35">
      <c r="A75" t="s">
        <v>128</v>
      </c>
    </row>
    <row r="76" spans="1:31" x14ac:dyDescent="0.35">
      <c r="A76" t="s">
        <v>127</v>
      </c>
    </row>
    <row r="77" spans="1:31" x14ac:dyDescent="0.35">
      <c r="A77" t="s">
        <v>126</v>
      </c>
    </row>
    <row r="78" spans="1:31" x14ac:dyDescent="0.35">
      <c r="A78" t="s">
        <v>125</v>
      </c>
    </row>
    <row r="79" spans="1:31" x14ac:dyDescent="0.35">
      <c r="A79" t="s">
        <v>124</v>
      </c>
    </row>
    <row r="80" spans="1:31" x14ac:dyDescent="0.35">
      <c r="A80" t="s">
        <v>123</v>
      </c>
    </row>
    <row r="81" spans="1:1" x14ac:dyDescent="0.35">
      <c r="A81" t="s">
        <v>122</v>
      </c>
    </row>
    <row r="82" spans="1:1" x14ac:dyDescent="0.35">
      <c r="A82" t="s">
        <v>121</v>
      </c>
    </row>
    <row r="83" spans="1:1" x14ac:dyDescent="0.35">
      <c r="A83" t="s">
        <v>120</v>
      </c>
    </row>
    <row r="84" spans="1:1" x14ac:dyDescent="0.35">
      <c r="A84" t="s">
        <v>119</v>
      </c>
    </row>
    <row r="85" spans="1:1" x14ac:dyDescent="0.35">
      <c r="A85" t="s">
        <v>118</v>
      </c>
    </row>
    <row r="86" spans="1:1" x14ac:dyDescent="0.35">
      <c r="A86" t="s">
        <v>117</v>
      </c>
    </row>
    <row r="87" spans="1:1" x14ac:dyDescent="0.35">
      <c r="A87" t="s">
        <v>116</v>
      </c>
    </row>
    <row r="88" spans="1:1" x14ac:dyDescent="0.35">
      <c r="A88" t="s">
        <v>115</v>
      </c>
    </row>
    <row r="89" spans="1:1" x14ac:dyDescent="0.35">
      <c r="A89" t="s">
        <v>114</v>
      </c>
    </row>
    <row r="90" spans="1:1" x14ac:dyDescent="0.35">
      <c r="A90" t="s">
        <v>113</v>
      </c>
    </row>
    <row r="91" spans="1:1" x14ac:dyDescent="0.35">
      <c r="A91" t="s">
        <v>112</v>
      </c>
    </row>
    <row r="92" spans="1:1" x14ac:dyDescent="0.35">
      <c r="A92" t="s">
        <v>111</v>
      </c>
    </row>
    <row r="93" spans="1:1" x14ac:dyDescent="0.35">
      <c r="A93" t="s">
        <v>110</v>
      </c>
    </row>
    <row r="94" spans="1:1" x14ac:dyDescent="0.35">
      <c r="A94" t="s">
        <v>109</v>
      </c>
    </row>
    <row r="95" spans="1:1" x14ac:dyDescent="0.35">
      <c r="A95" t="s">
        <v>108</v>
      </c>
    </row>
    <row r="96" spans="1:1" x14ac:dyDescent="0.35">
      <c r="A96" t="s">
        <v>107</v>
      </c>
    </row>
    <row r="97" spans="1:1" x14ac:dyDescent="0.35">
      <c r="A97" t="s">
        <v>106</v>
      </c>
    </row>
    <row r="98" spans="1:1" x14ac:dyDescent="0.35">
      <c r="A98" t="s">
        <v>105</v>
      </c>
    </row>
  </sheetData>
  <mergeCells count="5">
    <mergeCell ref="A12:H12"/>
    <mergeCell ref="A2:H2"/>
    <mergeCell ref="A3:H3"/>
    <mergeCell ref="A4:H4"/>
    <mergeCell ref="A14:H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V54"/>
  <sheetViews>
    <sheetView zoomScale="87" zoomScaleNormal="87" workbookViewId="0"/>
  </sheetViews>
  <sheetFormatPr defaultRowHeight="14.5" x14ac:dyDescent="0.35"/>
  <cols>
    <col min="1" max="1" width="44.1796875" customWidth="1"/>
    <col min="2" max="5" width="11" customWidth="1"/>
    <col min="6" max="6" width="11.7265625" customWidth="1"/>
    <col min="7" max="8" width="11" customWidth="1"/>
    <col min="9" max="10" width="12.7265625" customWidth="1"/>
    <col min="11" max="11" width="6.7265625" customWidth="1"/>
    <col min="12" max="12" width="11.453125" customWidth="1"/>
    <col min="13" max="13" width="7.7265625" customWidth="1"/>
    <col min="14" max="14" width="47.81640625" customWidth="1"/>
    <col min="15" max="15" width="12.1796875" customWidth="1"/>
    <col min="22" max="22" width="11.7265625" customWidth="1"/>
  </cols>
  <sheetData>
    <row r="1" spans="1:22" ht="20" x14ac:dyDescent="0.4">
      <c r="A1" s="31" t="s">
        <v>193</v>
      </c>
      <c r="B1" s="1"/>
      <c r="C1" s="1"/>
      <c r="D1" s="1"/>
      <c r="E1" s="1"/>
      <c r="F1" s="1"/>
      <c r="G1" s="1"/>
      <c r="H1" s="1"/>
      <c r="I1" s="7"/>
      <c r="J1" s="7"/>
      <c r="K1" s="1"/>
      <c r="L1" s="1"/>
      <c r="M1" s="1"/>
      <c r="N1" s="42"/>
      <c r="O1" s="11"/>
    </row>
    <row r="2" spans="1:22" s="1" customFormat="1" ht="13" x14ac:dyDescent="0.3">
      <c r="F2" s="6"/>
      <c r="G2" s="6"/>
      <c r="H2" s="6"/>
      <c r="I2" s="7"/>
      <c r="J2" s="7"/>
      <c r="K2" s="2"/>
    </row>
    <row r="3" spans="1:22" s="1" customFormat="1" ht="14.5" customHeight="1" x14ac:dyDescent="0.3">
      <c r="A3" s="136" t="s">
        <v>73</v>
      </c>
      <c r="B3" s="138" t="s">
        <v>72</v>
      </c>
      <c r="C3" s="139"/>
      <c r="D3" s="139"/>
      <c r="E3" s="139"/>
      <c r="F3" s="139"/>
      <c r="G3" s="140"/>
      <c r="H3" s="71"/>
      <c r="I3" s="72"/>
      <c r="J3" s="72"/>
      <c r="K3" s="2"/>
    </row>
    <row r="4" spans="1:22" s="1" customFormat="1" ht="65" x14ac:dyDescent="0.3">
      <c r="A4" s="137"/>
      <c r="B4" s="63" t="s">
        <v>10</v>
      </c>
      <c r="C4" s="63" t="s">
        <v>11</v>
      </c>
      <c r="D4" s="63" t="s">
        <v>12</v>
      </c>
      <c r="E4" s="63" t="s">
        <v>13</v>
      </c>
      <c r="F4" s="63" t="s">
        <v>14</v>
      </c>
      <c r="G4" s="63" t="s">
        <v>15</v>
      </c>
      <c r="H4" s="63" t="s">
        <v>16</v>
      </c>
      <c r="I4" s="63" t="s">
        <v>27</v>
      </c>
      <c r="J4" s="63" t="s">
        <v>17</v>
      </c>
      <c r="K4" s="2"/>
      <c r="N4" s="43"/>
      <c r="O4" s="43"/>
      <c r="P4" s="43"/>
      <c r="Q4" s="43"/>
      <c r="R4" s="43"/>
      <c r="S4" s="43"/>
      <c r="T4" s="43"/>
      <c r="U4" s="43"/>
      <c r="V4" s="43"/>
    </row>
    <row r="5" spans="1:22" s="1" customFormat="1" ht="25.15" customHeight="1" x14ac:dyDescent="0.3">
      <c r="A5" s="30" t="s">
        <v>74</v>
      </c>
      <c r="B5" s="17">
        <v>5</v>
      </c>
      <c r="C5" s="17">
        <v>15</v>
      </c>
      <c r="D5" s="17">
        <f>(B5+C5)*0.05</f>
        <v>1</v>
      </c>
      <c r="E5" s="17">
        <v>1</v>
      </c>
      <c r="F5" s="17">
        <f>(B5+C5+D5)*E5</f>
        <v>21</v>
      </c>
      <c r="G5" s="73">
        <f>((B5*$M$8)+(C5*$M$7)+(D5*$M$6))*E5</f>
        <v>2445.92</v>
      </c>
      <c r="H5" s="17">
        <f>'PSEU Counts'!E64</f>
        <v>100</v>
      </c>
      <c r="I5" s="33">
        <f>F5*H5</f>
        <v>2100</v>
      </c>
      <c r="J5" s="74">
        <f>G5*H5</f>
        <v>244592</v>
      </c>
      <c r="K5" s="2"/>
      <c r="L5" s="133" t="s">
        <v>0</v>
      </c>
      <c r="M5" s="133"/>
      <c r="P5" s="45"/>
      <c r="Q5" s="45"/>
      <c r="R5" s="45"/>
      <c r="S5" s="45"/>
      <c r="T5" s="45"/>
      <c r="U5" s="45"/>
      <c r="V5" s="46"/>
    </row>
    <row r="6" spans="1:22" s="1" customFormat="1" ht="25.15" customHeight="1" x14ac:dyDescent="0.3">
      <c r="A6" s="30" t="s">
        <v>75</v>
      </c>
      <c r="B6" s="17"/>
      <c r="C6" s="17"/>
      <c r="D6" s="17"/>
      <c r="E6" s="17"/>
      <c r="F6" s="17"/>
      <c r="G6" s="73"/>
      <c r="H6" s="35"/>
      <c r="I6" s="33"/>
      <c r="J6" s="74"/>
      <c r="K6" s="8"/>
      <c r="L6" s="12" t="s">
        <v>1</v>
      </c>
      <c r="M6" s="27">
        <f>'PSEU Counts'!$B$10</f>
        <v>163.16999999999999</v>
      </c>
      <c r="N6" s="44"/>
      <c r="O6" s="45"/>
      <c r="P6" s="45"/>
      <c r="Q6" s="45"/>
      <c r="R6" s="45"/>
      <c r="S6" s="47"/>
      <c r="T6" s="45"/>
      <c r="U6" s="45"/>
      <c r="V6" s="48"/>
    </row>
    <row r="7" spans="1:22" s="1" customFormat="1" ht="25.15" customHeight="1" x14ac:dyDescent="0.3">
      <c r="A7" s="32" t="s">
        <v>18</v>
      </c>
      <c r="B7" s="17">
        <v>0.75</v>
      </c>
      <c r="C7" s="17">
        <v>2.25</v>
      </c>
      <c r="D7" s="17">
        <f t="shared" ref="D7:D21" si="0">(B7+C7)*0.05</f>
        <v>0.15000000000000002</v>
      </c>
      <c r="E7" s="17">
        <v>1</v>
      </c>
      <c r="F7" s="17">
        <f t="shared" ref="F7:F21" si="1">(B7+C7+D7)*E7</f>
        <v>3.15</v>
      </c>
      <c r="G7" s="73">
        <f t="shared" ref="G7:G21" si="2">((B7*$M$8)+(C7*$M$7)+(D7*$M$6))*E7</f>
        <v>366.88800000000003</v>
      </c>
      <c r="H7" s="17">
        <f>'PSEU Counts'!F64</f>
        <v>74</v>
      </c>
      <c r="I7" s="33">
        <f t="shared" ref="I7:I21" si="3">F7*H7</f>
        <v>233.1</v>
      </c>
      <c r="J7" s="74">
        <f>G7*H7</f>
        <v>27149.712000000003</v>
      </c>
      <c r="K7" s="2"/>
      <c r="L7" s="12" t="s">
        <v>2</v>
      </c>
      <c r="M7" s="27">
        <f>'PSEU Counts'!$B$9</f>
        <v>130.28</v>
      </c>
      <c r="N7" s="44"/>
      <c r="O7" s="45"/>
      <c r="P7" s="45"/>
      <c r="Q7" s="45"/>
      <c r="R7" s="45"/>
      <c r="S7" s="45"/>
      <c r="T7" s="45"/>
      <c r="U7" s="45"/>
      <c r="V7" s="48"/>
    </row>
    <row r="8" spans="1:22" s="1" customFormat="1" ht="25.15" customHeight="1" x14ac:dyDescent="0.3">
      <c r="A8" s="32" t="s">
        <v>19</v>
      </c>
      <c r="B8" s="17">
        <v>0.25</v>
      </c>
      <c r="C8" s="17">
        <v>0.75</v>
      </c>
      <c r="D8" s="17">
        <f t="shared" si="0"/>
        <v>0.05</v>
      </c>
      <c r="E8" s="17">
        <v>1</v>
      </c>
      <c r="F8" s="17">
        <f t="shared" si="1"/>
        <v>1.05</v>
      </c>
      <c r="G8" s="73">
        <f t="shared" si="2"/>
        <v>122.29600000000001</v>
      </c>
      <c r="H8" s="17">
        <f>'PSEU Counts'!G64</f>
        <v>134</v>
      </c>
      <c r="I8" s="33">
        <f t="shared" si="3"/>
        <v>140.70000000000002</v>
      </c>
      <c r="J8" s="74">
        <f t="shared" ref="J8:J21" si="4">G8*H8</f>
        <v>16387.664000000001</v>
      </c>
      <c r="K8" s="2"/>
      <c r="L8" s="12" t="s">
        <v>3</v>
      </c>
      <c r="M8" s="27">
        <f>'PSEU Counts'!$B$8</f>
        <v>65.709999999999994</v>
      </c>
      <c r="N8" s="44"/>
      <c r="O8" s="45"/>
      <c r="P8" s="45"/>
      <c r="Q8" s="45"/>
      <c r="R8" s="45"/>
      <c r="S8" s="45"/>
      <c r="T8" s="45"/>
      <c r="U8" s="45"/>
      <c r="V8" s="48"/>
    </row>
    <row r="9" spans="1:22" s="1" customFormat="1" ht="25.15" customHeight="1" x14ac:dyDescent="0.3">
      <c r="A9" s="30" t="s">
        <v>76</v>
      </c>
      <c r="B9" s="17"/>
      <c r="C9" s="17"/>
      <c r="D9" s="17"/>
      <c r="E9" s="17"/>
      <c r="F9" s="17"/>
      <c r="G9" s="73"/>
      <c r="H9" s="17"/>
      <c r="I9" s="33"/>
      <c r="J9" s="74"/>
      <c r="K9" s="2"/>
      <c r="L9" s="56"/>
      <c r="M9" s="14"/>
      <c r="N9" s="44"/>
      <c r="O9" s="45"/>
      <c r="P9" s="45"/>
      <c r="Q9" s="45"/>
      <c r="R9" s="49"/>
      <c r="S9" s="49"/>
      <c r="T9" s="49"/>
      <c r="U9" s="49"/>
      <c r="V9" s="48"/>
    </row>
    <row r="10" spans="1:22" s="1" customFormat="1" ht="25.15" customHeight="1" x14ac:dyDescent="0.3">
      <c r="A10" s="32" t="s">
        <v>18</v>
      </c>
      <c r="B10" s="17">
        <v>4</v>
      </c>
      <c r="C10" s="17">
        <v>12</v>
      </c>
      <c r="D10" s="17">
        <f t="shared" si="0"/>
        <v>0.8</v>
      </c>
      <c r="E10" s="17">
        <v>1</v>
      </c>
      <c r="F10" s="17">
        <f t="shared" si="1"/>
        <v>16.8</v>
      </c>
      <c r="G10" s="73">
        <f t="shared" si="2"/>
        <v>1956.7360000000001</v>
      </c>
      <c r="H10" s="17">
        <f>H7</f>
        <v>74</v>
      </c>
      <c r="I10" s="33">
        <f t="shared" si="3"/>
        <v>1243.2</v>
      </c>
      <c r="J10" s="74">
        <f t="shared" si="4"/>
        <v>144798.46400000001</v>
      </c>
      <c r="K10" s="2"/>
      <c r="L10" s="65"/>
      <c r="M10" s="3"/>
      <c r="N10" s="44"/>
      <c r="O10" s="45"/>
      <c r="P10" s="45"/>
      <c r="Q10" s="45"/>
      <c r="R10" s="49"/>
      <c r="S10" s="49"/>
      <c r="T10" s="49"/>
      <c r="U10" s="49"/>
      <c r="V10" s="48"/>
    </row>
    <row r="11" spans="1:22" s="1" customFormat="1" ht="25.15" customHeight="1" x14ac:dyDescent="0.3">
      <c r="A11" s="32" t="s">
        <v>20</v>
      </c>
      <c r="B11" s="17">
        <v>2</v>
      </c>
      <c r="C11" s="17">
        <v>6</v>
      </c>
      <c r="D11" s="17">
        <f t="shared" si="0"/>
        <v>0.4</v>
      </c>
      <c r="E11" s="17">
        <v>1</v>
      </c>
      <c r="F11" s="17">
        <f t="shared" si="1"/>
        <v>8.4</v>
      </c>
      <c r="G11" s="73">
        <f t="shared" si="2"/>
        <v>978.36800000000005</v>
      </c>
      <c r="H11" s="17">
        <f>H8</f>
        <v>134</v>
      </c>
      <c r="I11" s="33">
        <f t="shared" si="3"/>
        <v>1125.6000000000001</v>
      </c>
      <c r="J11" s="74">
        <f t="shared" si="4"/>
        <v>131101.31200000001</v>
      </c>
      <c r="K11" s="2"/>
      <c r="L11" s="3"/>
      <c r="M11" s="3"/>
      <c r="N11" s="44"/>
      <c r="O11" s="45"/>
      <c r="P11" s="45"/>
      <c r="Q11" s="45"/>
      <c r="R11" s="49"/>
      <c r="S11" s="49"/>
      <c r="T11" s="49"/>
      <c r="U11" s="49"/>
      <c r="V11" s="48"/>
    </row>
    <row r="12" spans="1:22" s="1" customFormat="1" ht="25.15" customHeight="1" x14ac:dyDescent="0.3">
      <c r="A12" s="30" t="s">
        <v>77</v>
      </c>
      <c r="B12" s="17"/>
      <c r="C12" s="17"/>
      <c r="D12" s="17"/>
      <c r="E12" s="17"/>
      <c r="F12" s="17"/>
      <c r="G12" s="73"/>
      <c r="H12" s="17"/>
      <c r="I12" s="33"/>
      <c r="J12" s="74"/>
      <c r="K12" s="2"/>
      <c r="L12" s="4"/>
      <c r="M12" s="78"/>
      <c r="N12" s="44"/>
      <c r="O12" s="45"/>
      <c r="P12" s="45"/>
      <c r="Q12" s="45"/>
      <c r="R12" s="49"/>
      <c r="S12" s="49"/>
      <c r="T12" s="50"/>
      <c r="U12" s="50"/>
      <c r="V12" s="48"/>
    </row>
    <row r="13" spans="1:22" s="1" customFormat="1" ht="25.15" customHeight="1" x14ac:dyDescent="0.3">
      <c r="A13" s="32" t="s">
        <v>18</v>
      </c>
      <c r="B13" s="17">
        <v>0</v>
      </c>
      <c r="C13" s="17">
        <v>4</v>
      </c>
      <c r="D13" s="17">
        <f t="shared" si="0"/>
        <v>0.2</v>
      </c>
      <c r="E13" s="17">
        <v>1</v>
      </c>
      <c r="F13" s="17">
        <f t="shared" si="1"/>
        <v>4.2</v>
      </c>
      <c r="G13" s="73">
        <f t="shared" si="2"/>
        <v>553.75400000000002</v>
      </c>
      <c r="H13" s="17">
        <f>H7</f>
        <v>74</v>
      </c>
      <c r="I13" s="33">
        <f t="shared" si="3"/>
        <v>310.8</v>
      </c>
      <c r="J13" s="74">
        <f t="shared" si="4"/>
        <v>40977.796000000002</v>
      </c>
      <c r="K13" s="2"/>
      <c r="L13" s="4"/>
      <c r="M13" s="78"/>
      <c r="N13" s="44"/>
      <c r="O13" s="45"/>
      <c r="P13" s="45"/>
      <c r="Q13" s="45"/>
      <c r="R13" s="49"/>
      <c r="S13" s="49"/>
      <c r="T13" s="50"/>
      <c r="U13" s="50"/>
      <c r="V13" s="48"/>
    </row>
    <row r="14" spans="1:22" s="1" customFormat="1" ht="25.15" customHeight="1" x14ac:dyDescent="0.3">
      <c r="A14" s="32" t="s">
        <v>20</v>
      </c>
      <c r="B14" s="17">
        <v>0</v>
      </c>
      <c r="C14" s="17">
        <v>2</v>
      </c>
      <c r="D14" s="17">
        <f t="shared" si="0"/>
        <v>0.1</v>
      </c>
      <c r="E14" s="17">
        <v>1</v>
      </c>
      <c r="F14" s="17">
        <f t="shared" si="1"/>
        <v>2.1</v>
      </c>
      <c r="G14" s="73">
        <f t="shared" si="2"/>
        <v>276.87700000000001</v>
      </c>
      <c r="H14" s="17">
        <f>H8</f>
        <v>134</v>
      </c>
      <c r="I14" s="33">
        <f t="shared" si="3"/>
        <v>281.40000000000003</v>
      </c>
      <c r="J14" s="74">
        <f t="shared" si="4"/>
        <v>37101.518000000004</v>
      </c>
      <c r="K14" s="2"/>
      <c r="L14" s="4"/>
      <c r="M14" s="78"/>
      <c r="N14" s="44"/>
      <c r="O14" s="45"/>
      <c r="P14" s="45"/>
      <c r="Q14" s="45"/>
      <c r="R14" s="45"/>
      <c r="S14" s="45"/>
      <c r="T14" s="45"/>
      <c r="U14" s="45"/>
      <c r="V14" s="48"/>
    </row>
    <row r="15" spans="1:22" s="1" customFormat="1" ht="25.15" customHeight="1" x14ac:dyDescent="0.3">
      <c r="A15" s="30" t="s">
        <v>21</v>
      </c>
      <c r="B15" s="17">
        <v>1</v>
      </c>
      <c r="C15" s="17">
        <v>2</v>
      </c>
      <c r="D15" s="17">
        <f t="shared" si="0"/>
        <v>0.15000000000000002</v>
      </c>
      <c r="E15" s="35">
        <v>1</v>
      </c>
      <c r="F15" s="17">
        <f t="shared" si="1"/>
        <v>3.15</v>
      </c>
      <c r="G15" s="73">
        <f t="shared" si="2"/>
        <v>350.74549999999999</v>
      </c>
      <c r="H15" s="35">
        <f>'PSEU Counts'!AB64</f>
        <v>4324</v>
      </c>
      <c r="I15" s="33">
        <f t="shared" si="3"/>
        <v>13620.6</v>
      </c>
      <c r="J15" s="74">
        <f t="shared" si="4"/>
        <v>1516623.5419999999</v>
      </c>
      <c r="K15" s="8"/>
      <c r="L15" s="55"/>
      <c r="M15" s="5"/>
      <c r="N15" s="44"/>
      <c r="O15" s="45"/>
      <c r="P15" s="45"/>
      <c r="Q15" s="45"/>
      <c r="R15" s="45"/>
      <c r="S15" s="45"/>
      <c r="T15" s="45"/>
      <c r="U15" s="45"/>
      <c r="V15" s="48"/>
    </row>
    <row r="16" spans="1:22" s="1" customFormat="1" ht="25.15" customHeight="1" x14ac:dyDescent="0.3">
      <c r="A16" s="30" t="s">
        <v>22</v>
      </c>
      <c r="B16" s="17">
        <v>5</v>
      </c>
      <c r="C16" s="17">
        <v>20</v>
      </c>
      <c r="D16" s="17">
        <f t="shared" si="0"/>
        <v>1.25</v>
      </c>
      <c r="E16" s="35">
        <v>1</v>
      </c>
      <c r="F16" s="17">
        <f t="shared" si="1"/>
        <v>26.25</v>
      </c>
      <c r="G16" s="73">
        <f t="shared" si="2"/>
        <v>3138.1124999999997</v>
      </c>
      <c r="H16" s="35">
        <f>'PSEU Counts'!AC64</f>
        <v>8.7312000000000012</v>
      </c>
      <c r="I16" s="118">
        <f t="shared" si="3"/>
        <v>229.19400000000002</v>
      </c>
      <c r="J16" s="74">
        <f t="shared" si="4"/>
        <v>27399.487860000001</v>
      </c>
      <c r="K16" s="2"/>
      <c r="L16" s="55"/>
      <c r="N16" s="44"/>
      <c r="O16" s="45"/>
      <c r="P16" s="45"/>
      <c r="Q16" s="45"/>
      <c r="R16" s="45"/>
      <c r="S16" s="45"/>
      <c r="T16" s="45"/>
      <c r="U16" s="45"/>
      <c r="V16" s="48"/>
    </row>
    <row r="17" spans="1:22" s="1" customFormat="1" ht="25.15" customHeight="1" x14ac:dyDescent="0.3">
      <c r="A17" s="30" t="s">
        <v>23</v>
      </c>
      <c r="B17" s="17"/>
      <c r="C17" s="17"/>
      <c r="D17" s="17"/>
      <c r="E17" s="35"/>
      <c r="F17" s="17"/>
      <c r="G17" s="73"/>
      <c r="H17" s="34"/>
      <c r="I17" s="33"/>
      <c r="J17" s="74"/>
      <c r="K17" s="2"/>
      <c r="L17" s="55"/>
      <c r="N17" s="44"/>
      <c r="O17" s="45"/>
      <c r="P17" s="45"/>
      <c r="Q17" s="45"/>
      <c r="R17" s="45"/>
      <c r="S17" s="45"/>
      <c r="T17" s="45"/>
      <c r="U17" s="45"/>
      <c r="V17" s="48"/>
    </row>
    <row r="18" spans="1:22" s="1" customFormat="1" ht="25.15" customHeight="1" x14ac:dyDescent="0.3">
      <c r="A18" s="32" t="s">
        <v>24</v>
      </c>
      <c r="B18" s="17">
        <v>0</v>
      </c>
      <c r="C18" s="17">
        <v>0.15</v>
      </c>
      <c r="D18" s="17">
        <f t="shared" si="0"/>
        <v>7.4999999999999997E-3</v>
      </c>
      <c r="E18" s="35">
        <v>1</v>
      </c>
      <c r="F18" s="17">
        <f t="shared" si="1"/>
        <v>0.1575</v>
      </c>
      <c r="G18" s="73">
        <f t="shared" si="2"/>
        <v>20.765774999999998</v>
      </c>
      <c r="H18" s="35">
        <f>'PSEU Counts'!AD64</f>
        <v>1.1284000000000001</v>
      </c>
      <c r="I18" s="118">
        <f t="shared" si="3"/>
        <v>0.17772300000000002</v>
      </c>
      <c r="J18" s="74">
        <f t="shared" si="4"/>
        <v>23.432100509999998</v>
      </c>
      <c r="K18" s="2"/>
      <c r="L18" s="55"/>
      <c r="N18" s="44"/>
      <c r="O18" s="45"/>
      <c r="P18" s="45"/>
      <c r="Q18" s="45"/>
      <c r="R18" s="45"/>
      <c r="S18" s="45"/>
      <c r="T18" s="45"/>
      <c r="U18" s="45"/>
      <c r="V18" s="48"/>
    </row>
    <row r="19" spans="1:22" s="1" customFormat="1" ht="25.15" customHeight="1" x14ac:dyDescent="0.3">
      <c r="A19" s="32" t="s">
        <v>25</v>
      </c>
      <c r="B19" s="17">
        <v>0</v>
      </c>
      <c r="C19" s="17">
        <v>0.5</v>
      </c>
      <c r="D19" s="17">
        <f t="shared" si="0"/>
        <v>2.5000000000000001E-2</v>
      </c>
      <c r="E19" s="35">
        <v>1</v>
      </c>
      <c r="F19" s="17">
        <f t="shared" si="1"/>
        <v>0.52500000000000002</v>
      </c>
      <c r="G19" s="73">
        <f t="shared" si="2"/>
        <v>69.219250000000002</v>
      </c>
      <c r="H19" s="35">
        <f>'PSEU Counts'!AE64</f>
        <v>7.6028000000000002</v>
      </c>
      <c r="I19" s="118">
        <f t="shared" si="3"/>
        <v>3.9914700000000001</v>
      </c>
      <c r="J19" s="74">
        <f t="shared" si="4"/>
        <v>526.26011390000008</v>
      </c>
      <c r="K19" s="2"/>
      <c r="L19" s="55"/>
      <c r="N19" s="44"/>
      <c r="O19" s="45"/>
      <c r="P19" s="45"/>
      <c r="Q19" s="45"/>
      <c r="R19" s="45"/>
      <c r="S19" s="45"/>
      <c r="T19" s="45"/>
      <c r="U19" s="45"/>
      <c r="V19" s="48"/>
    </row>
    <row r="20" spans="1:22" s="1" customFormat="1" ht="25.15" customHeight="1" x14ac:dyDescent="0.3">
      <c r="A20" s="30" t="s">
        <v>26</v>
      </c>
      <c r="B20" s="17">
        <v>0</v>
      </c>
      <c r="C20" s="17">
        <v>0.5</v>
      </c>
      <c r="D20" s="17">
        <f t="shared" si="0"/>
        <v>2.5000000000000001E-2</v>
      </c>
      <c r="E20" s="17">
        <v>2</v>
      </c>
      <c r="F20" s="17">
        <f t="shared" si="1"/>
        <v>1.05</v>
      </c>
      <c r="G20" s="73">
        <f t="shared" si="2"/>
        <v>138.4385</v>
      </c>
      <c r="H20" s="35">
        <v>9</v>
      </c>
      <c r="I20" s="33">
        <f t="shared" si="3"/>
        <v>9.4500000000000011</v>
      </c>
      <c r="J20" s="74">
        <f t="shared" si="4"/>
        <v>1245.9465</v>
      </c>
      <c r="K20" s="2"/>
      <c r="L20" s="2"/>
      <c r="N20" s="44"/>
      <c r="O20" s="45"/>
      <c r="P20" s="45"/>
      <c r="Q20" s="45"/>
      <c r="R20" s="45"/>
      <c r="S20" s="45"/>
      <c r="T20" s="45"/>
      <c r="U20" s="45"/>
      <c r="V20" s="48"/>
    </row>
    <row r="21" spans="1:22" s="1" customFormat="1" ht="25.15" customHeight="1" x14ac:dyDescent="0.3">
      <c r="A21" s="30" t="s">
        <v>78</v>
      </c>
      <c r="B21" s="17">
        <v>0.7</v>
      </c>
      <c r="C21" s="17">
        <v>0</v>
      </c>
      <c r="D21" s="17">
        <f t="shared" si="0"/>
        <v>3.4999999999999996E-2</v>
      </c>
      <c r="E21" s="17">
        <v>1</v>
      </c>
      <c r="F21" s="17">
        <f t="shared" si="1"/>
        <v>0.73499999999999999</v>
      </c>
      <c r="G21" s="73">
        <f t="shared" si="2"/>
        <v>51.70794999999999</v>
      </c>
      <c r="H21" s="17">
        <v>0</v>
      </c>
      <c r="I21" s="33">
        <f t="shared" si="3"/>
        <v>0</v>
      </c>
      <c r="J21" s="74">
        <f t="shared" si="4"/>
        <v>0</v>
      </c>
      <c r="K21" s="2"/>
      <c r="N21" s="44"/>
      <c r="O21" s="45"/>
      <c r="P21" s="45"/>
      <c r="Q21" s="45"/>
      <c r="R21" s="45"/>
      <c r="S21" s="47"/>
      <c r="T21" s="45"/>
      <c r="U21" s="45"/>
      <c r="V21" s="48"/>
    </row>
    <row r="22" spans="1:22" s="1" customFormat="1" ht="25.15" customHeight="1" x14ac:dyDescent="0.35">
      <c r="A22" s="41" t="s">
        <v>79</v>
      </c>
      <c r="B22" s="141"/>
      <c r="C22" s="142"/>
      <c r="D22" s="142"/>
      <c r="E22" s="142"/>
      <c r="F22" s="142"/>
      <c r="G22" s="142"/>
      <c r="H22" s="143"/>
      <c r="I22" s="75">
        <f>ROUND(SUM(I5:I21),-2)</f>
        <v>19300</v>
      </c>
      <c r="J22" s="76">
        <f>ROUND(SUM(J5:J21), -4)</f>
        <v>2190000</v>
      </c>
      <c r="K22" s="13"/>
      <c r="L22" s="13"/>
      <c r="M22" s="2"/>
      <c r="N22" s="44"/>
      <c r="O22" s="45"/>
      <c r="P22" s="45"/>
      <c r="Q22" s="45"/>
      <c r="R22" s="45"/>
      <c r="S22" s="45"/>
      <c r="T22" s="45"/>
      <c r="U22" s="45"/>
      <c r="V22" s="48"/>
    </row>
    <row r="23" spans="1:22" s="1" customFormat="1" ht="25.15" customHeight="1" x14ac:dyDescent="0.35">
      <c r="A23" s="41" t="s">
        <v>80</v>
      </c>
      <c r="B23" s="141"/>
      <c r="C23" s="142"/>
      <c r="D23" s="142"/>
      <c r="E23" s="142"/>
      <c r="F23" s="142"/>
      <c r="G23" s="142"/>
      <c r="H23" s="142"/>
      <c r="I23" s="143"/>
      <c r="J23" s="66">
        <v>0</v>
      </c>
      <c r="K23" s="2"/>
      <c r="N23" s="51"/>
      <c r="O23" s="51"/>
      <c r="P23" s="51"/>
      <c r="Q23" s="51"/>
      <c r="R23" s="51"/>
      <c r="S23" s="52"/>
      <c r="T23" s="52"/>
      <c r="U23" s="52"/>
      <c r="V23" s="53"/>
    </row>
    <row r="24" spans="1:22" s="1" customFormat="1" ht="25.15" customHeight="1" x14ac:dyDescent="0.35">
      <c r="A24" s="41" t="s">
        <v>81</v>
      </c>
      <c r="B24" s="141"/>
      <c r="C24" s="142"/>
      <c r="D24" s="142"/>
      <c r="E24" s="142"/>
      <c r="F24" s="142"/>
      <c r="G24" s="142"/>
      <c r="H24" s="142"/>
      <c r="I24" s="143"/>
      <c r="J24" s="66">
        <f>J22+J23</f>
        <v>2190000</v>
      </c>
      <c r="K24" s="2"/>
      <c r="N24" s="54"/>
      <c r="O24" s="54"/>
      <c r="P24" s="54"/>
      <c r="Q24" s="54"/>
      <c r="R24" s="54"/>
      <c r="S24" s="52"/>
      <c r="T24" s="52"/>
      <c r="U24" s="52"/>
      <c r="V24" s="53"/>
    </row>
    <row r="25" spans="1:22" s="1" customFormat="1" ht="13.5" x14ac:dyDescent="0.35">
      <c r="G25" s="36"/>
      <c r="I25" s="7"/>
      <c r="J25" s="7"/>
      <c r="K25" s="2"/>
      <c r="N25" s="54"/>
      <c r="O25" s="54"/>
      <c r="P25" s="54"/>
      <c r="Q25" s="54"/>
      <c r="R25" s="54"/>
      <c r="S25" s="54"/>
      <c r="T25" s="54"/>
      <c r="U25" s="54"/>
      <c r="V25" s="53"/>
    </row>
    <row r="26" spans="1:22" s="1" customFormat="1" ht="13.5" x14ac:dyDescent="0.35">
      <c r="A26" s="134" t="s">
        <v>4</v>
      </c>
      <c r="B26" s="134"/>
      <c r="C26" s="134"/>
      <c r="D26" s="134"/>
      <c r="E26" s="134"/>
      <c r="F26" s="134"/>
      <c r="G26" s="134"/>
      <c r="H26" s="134"/>
      <c r="I26" s="134"/>
      <c r="J26" s="134"/>
      <c r="K26" s="2"/>
      <c r="N26" s="54"/>
      <c r="O26" s="54"/>
      <c r="P26" s="54"/>
      <c r="Q26" s="54"/>
      <c r="R26" s="54"/>
      <c r="S26" s="54"/>
      <c r="T26" s="54"/>
      <c r="U26" s="54"/>
      <c r="V26" s="53"/>
    </row>
    <row r="27" spans="1:22" s="1" customFormat="1" ht="19.149999999999999" customHeight="1" x14ac:dyDescent="0.3">
      <c r="A27" s="135" t="s">
        <v>82</v>
      </c>
      <c r="B27" s="135"/>
      <c r="C27" s="135"/>
      <c r="D27" s="135"/>
      <c r="E27" s="135"/>
      <c r="F27" s="135"/>
      <c r="G27" s="135"/>
      <c r="H27" s="135"/>
      <c r="I27" s="135"/>
      <c r="J27" s="135"/>
      <c r="K27" s="2"/>
      <c r="N27" s="26"/>
      <c r="O27" s="26"/>
      <c r="P27" s="26"/>
      <c r="Q27" s="26"/>
      <c r="R27" s="26"/>
      <c r="S27" s="26"/>
      <c r="T27" s="26"/>
      <c r="U27" s="26"/>
      <c r="V27" s="26"/>
    </row>
    <row r="28" spans="1:22" s="1" customFormat="1" ht="76.5" customHeight="1" x14ac:dyDescent="0.3">
      <c r="A28" s="135" t="s">
        <v>200</v>
      </c>
      <c r="B28" s="135"/>
      <c r="C28" s="135"/>
      <c r="D28" s="135"/>
      <c r="E28" s="135"/>
      <c r="F28" s="135"/>
      <c r="G28" s="135"/>
      <c r="H28" s="135"/>
      <c r="I28" s="135"/>
      <c r="J28" s="135"/>
      <c r="K28" s="2"/>
      <c r="N28" s="26"/>
      <c r="O28" s="26"/>
      <c r="P28" s="26"/>
      <c r="Q28" s="26"/>
      <c r="R28" s="26"/>
      <c r="S28" s="26"/>
      <c r="T28" s="26"/>
      <c r="U28" s="26"/>
      <c r="V28" s="26"/>
    </row>
    <row r="29" spans="1:22" s="1" customFormat="1" ht="17.5" customHeight="1" x14ac:dyDescent="0.3">
      <c r="A29" s="131" t="s">
        <v>83</v>
      </c>
      <c r="B29" s="131"/>
      <c r="C29" s="131"/>
      <c r="D29" s="131"/>
      <c r="E29" s="131"/>
      <c r="F29" s="131"/>
      <c r="G29" s="131"/>
      <c r="H29" s="131"/>
      <c r="I29" s="131"/>
      <c r="J29" s="131"/>
      <c r="K29" s="8"/>
      <c r="N29" s="26"/>
      <c r="O29" s="26"/>
      <c r="P29" s="26"/>
      <c r="Q29" s="26"/>
      <c r="R29" s="26"/>
      <c r="S29" s="26"/>
      <c r="T29" s="26"/>
      <c r="U29" s="26"/>
      <c r="V29" s="26"/>
    </row>
    <row r="30" spans="1:22" s="1" customFormat="1" ht="21.65" customHeight="1" x14ac:dyDescent="0.3">
      <c r="A30" s="131" t="s">
        <v>88</v>
      </c>
      <c r="B30" s="131"/>
      <c r="C30" s="131"/>
      <c r="D30" s="131"/>
      <c r="E30" s="131"/>
      <c r="F30" s="131"/>
      <c r="G30" s="131"/>
      <c r="H30" s="131"/>
      <c r="I30" s="131"/>
      <c r="J30" s="131"/>
      <c r="K30" s="2"/>
      <c r="N30" s="26"/>
      <c r="O30" s="26"/>
      <c r="P30" s="26"/>
      <c r="Q30" s="26"/>
      <c r="R30" s="26"/>
      <c r="S30" s="26"/>
      <c r="T30" s="26"/>
      <c r="U30" s="26"/>
      <c r="V30" s="26"/>
    </row>
    <row r="31" spans="1:22" s="1" customFormat="1" ht="20.25" customHeight="1" x14ac:dyDescent="0.3">
      <c r="A31" s="131" t="s">
        <v>85</v>
      </c>
      <c r="B31" s="131"/>
      <c r="C31" s="131"/>
      <c r="D31" s="131"/>
      <c r="E31" s="131"/>
      <c r="F31" s="131"/>
      <c r="G31" s="131"/>
      <c r="H31" s="131"/>
      <c r="I31" s="131"/>
      <c r="J31" s="131"/>
      <c r="N31" s="26"/>
      <c r="O31" s="26"/>
      <c r="P31" s="26"/>
      <c r="Q31" s="26"/>
      <c r="R31" s="26"/>
      <c r="S31" s="26"/>
      <c r="T31" s="26"/>
      <c r="U31" s="26"/>
      <c r="V31" s="26"/>
    </row>
    <row r="32" spans="1:22" s="1" customFormat="1" ht="20.5" customHeight="1" x14ac:dyDescent="0.3">
      <c r="A32" s="131" t="s">
        <v>86</v>
      </c>
      <c r="B32" s="131"/>
      <c r="C32" s="131"/>
      <c r="D32" s="131"/>
      <c r="E32" s="131"/>
      <c r="F32" s="131"/>
      <c r="G32" s="131"/>
      <c r="H32" s="131"/>
      <c r="I32" s="131"/>
      <c r="J32" s="131"/>
      <c r="N32" s="26"/>
      <c r="O32" s="26"/>
      <c r="P32" s="26"/>
      <c r="Q32" s="26"/>
      <c r="R32" s="26"/>
      <c r="S32" s="26"/>
      <c r="T32" s="26"/>
      <c r="U32" s="26"/>
      <c r="V32" s="26"/>
    </row>
    <row r="33" spans="1:22" s="1" customFormat="1" ht="17.25" customHeight="1" x14ac:dyDescent="0.3">
      <c r="A33" s="132" t="s">
        <v>87</v>
      </c>
      <c r="B33" s="132"/>
      <c r="C33" s="132"/>
      <c r="D33" s="132"/>
      <c r="E33" s="132"/>
      <c r="F33" s="132"/>
      <c r="G33" s="132"/>
      <c r="H33" s="132"/>
      <c r="I33" s="132"/>
      <c r="J33" s="132"/>
      <c r="N33" s="26"/>
      <c r="O33" s="26"/>
      <c r="P33" s="26"/>
      <c r="Q33" s="26"/>
      <c r="R33" s="26"/>
      <c r="S33" s="26"/>
      <c r="T33" s="26"/>
      <c r="U33" s="26"/>
      <c r="V33" s="26"/>
    </row>
    <row r="34" spans="1:22" s="1" customFormat="1" ht="30" customHeight="1" x14ac:dyDescent="0.3">
      <c r="A34" s="38"/>
      <c r="B34" s="38"/>
      <c r="C34" s="38"/>
      <c r="D34" s="38"/>
      <c r="E34" s="38"/>
      <c r="F34" s="38"/>
      <c r="G34" s="38"/>
      <c r="H34" s="38"/>
      <c r="I34" s="38"/>
      <c r="J34" s="38"/>
      <c r="N34" s="26"/>
      <c r="O34" s="26"/>
      <c r="P34" s="26"/>
      <c r="Q34" s="26"/>
      <c r="R34" s="26"/>
      <c r="S34" s="26"/>
      <c r="T34" s="26"/>
      <c r="U34" s="26"/>
      <c r="V34" s="26"/>
    </row>
    <row r="40" spans="1:22" ht="15.5" x14ac:dyDescent="0.35">
      <c r="A40" s="57"/>
      <c r="B40" s="57"/>
      <c r="C40" s="57"/>
    </row>
    <row r="41" spans="1:22" ht="15.5" x14ac:dyDescent="0.35">
      <c r="A41" s="57"/>
      <c r="B41" s="57"/>
      <c r="C41" s="57"/>
    </row>
    <row r="42" spans="1:22" ht="15.5" x14ac:dyDescent="0.35">
      <c r="A42" s="57"/>
      <c r="B42" s="57"/>
      <c r="C42" s="57"/>
    </row>
    <row r="43" spans="1:22" ht="15.5" x14ac:dyDescent="0.35">
      <c r="A43" s="58"/>
      <c r="B43" s="58"/>
      <c r="C43" s="58"/>
    </row>
    <row r="44" spans="1:22" ht="15.5" x14ac:dyDescent="0.35">
      <c r="A44" s="57"/>
      <c r="B44" s="57"/>
      <c r="C44" s="57"/>
    </row>
    <row r="45" spans="1:22" ht="15.5" x14ac:dyDescent="0.35">
      <c r="A45" s="57"/>
      <c r="B45" s="57"/>
      <c r="C45" s="57"/>
    </row>
    <row r="46" spans="1:22" ht="15.5" x14ac:dyDescent="0.35">
      <c r="A46" s="58"/>
      <c r="B46" s="58"/>
      <c r="C46" s="58"/>
    </row>
    <row r="47" spans="1:22" ht="15.5" x14ac:dyDescent="0.35">
      <c r="A47" s="58"/>
      <c r="B47" s="58"/>
      <c r="C47" s="58"/>
    </row>
    <row r="48" spans="1:22" ht="15.75" customHeight="1" x14ac:dyDescent="0.35">
      <c r="A48" s="57"/>
      <c r="B48" s="57"/>
      <c r="C48" s="57"/>
    </row>
    <row r="49" spans="1:3" ht="15" customHeight="1" x14ac:dyDescent="0.35">
      <c r="A49" s="57"/>
      <c r="B49" s="57"/>
      <c r="C49" s="57"/>
    </row>
    <row r="50" spans="1:3" ht="15.5" x14ac:dyDescent="0.35">
      <c r="A50" s="57"/>
      <c r="B50" s="57"/>
      <c r="C50" s="57"/>
    </row>
    <row r="51" spans="1:3" ht="15.5" x14ac:dyDescent="0.35">
      <c r="A51" s="58"/>
      <c r="B51" s="58"/>
      <c r="C51" s="58"/>
    </row>
    <row r="52" spans="1:3" ht="15.5" x14ac:dyDescent="0.35">
      <c r="A52" s="58"/>
      <c r="B52" s="57"/>
      <c r="C52" s="57"/>
    </row>
    <row r="53" spans="1:3" ht="15.5" x14ac:dyDescent="0.35">
      <c r="A53" s="57"/>
      <c r="B53" s="57"/>
      <c r="C53" s="57"/>
    </row>
    <row r="54" spans="1:3" ht="15.5" x14ac:dyDescent="0.35">
      <c r="A54" s="58"/>
      <c r="B54" s="57"/>
      <c r="C54" s="57"/>
    </row>
  </sheetData>
  <sortState xmlns:xlrd2="http://schemas.microsoft.com/office/spreadsheetml/2017/richdata2" ref="A39:C54">
    <sortCondition ref="C39:C54"/>
  </sortState>
  <mergeCells count="14">
    <mergeCell ref="A3:A4"/>
    <mergeCell ref="B3:G3"/>
    <mergeCell ref="B22:H22"/>
    <mergeCell ref="B23:I23"/>
    <mergeCell ref="B24:I24"/>
    <mergeCell ref="A32:J32"/>
    <mergeCell ref="A33:J33"/>
    <mergeCell ref="L5:M5"/>
    <mergeCell ref="A26:J26"/>
    <mergeCell ref="A27:J27"/>
    <mergeCell ref="A28:J28"/>
    <mergeCell ref="A29:J29"/>
    <mergeCell ref="A30:J30"/>
    <mergeCell ref="A31:J31"/>
  </mergeCells>
  <phoneticPr fontId="22"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AEE6-1DB1-4D8D-BF38-521D97CDFBF3}">
  <dimension ref="A1:V54"/>
  <sheetViews>
    <sheetView zoomScale="87" zoomScaleNormal="87" workbookViewId="0">
      <selection activeCell="A3" sqref="A3:J33"/>
    </sheetView>
  </sheetViews>
  <sheetFormatPr defaultRowHeight="14.5" x14ac:dyDescent="0.35"/>
  <cols>
    <col min="1" max="1" width="44.1796875" customWidth="1"/>
    <col min="2" max="5" width="11" customWidth="1"/>
    <col min="6" max="6" width="11.7265625" customWidth="1"/>
    <col min="7" max="8" width="11" customWidth="1"/>
    <col min="9" max="10" width="12.7265625" customWidth="1"/>
    <col min="11" max="11" width="6.7265625" customWidth="1"/>
    <col min="12" max="12" width="11.453125" customWidth="1"/>
    <col min="13" max="13" width="7.7265625" customWidth="1"/>
    <col min="14" max="14" width="47.81640625" customWidth="1"/>
    <col min="15" max="15" width="12.1796875" customWidth="1"/>
    <col min="22" max="22" width="11.7265625" customWidth="1"/>
  </cols>
  <sheetData>
    <row r="1" spans="1:22" ht="20" x14ac:dyDescent="0.4">
      <c r="A1" s="31" t="s">
        <v>195</v>
      </c>
      <c r="B1" s="1"/>
      <c r="C1" s="1"/>
      <c r="D1" s="1"/>
      <c r="E1" s="1"/>
      <c r="F1" s="1"/>
      <c r="G1" s="1"/>
      <c r="H1" s="1"/>
      <c r="I1" s="7"/>
      <c r="J1" s="7"/>
      <c r="K1" s="1"/>
      <c r="L1" s="1"/>
      <c r="M1" s="1"/>
      <c r="N1" s="42"/>
      <c r="O1" s="11"/>
    </row>
    <row r="2" spans="1:22" s="1" customFormat="1" ht="13" x14ac:dyDescent="0.3">
      <c r="F2" s="6"/>
      <c r="G2" s="6"/>
      <c r="H2" s="6"/>
      <c r="I2" s="7"/>
      <c r="J2" s="7"/>
      <c r="K2" s="2"/>
    </row>
    <row r="3" spans="1:22" s="1" customFormat="1" ht="14.5" customHeight="1" x14ac:dyDescent="0.3">
      <c r="A3" s="136" t="s">
        <v>73</v>
      </c>
      <c r="B3" s="138" t="s">
        <v>72</v>
      </c>
      <c r="C3" s="139"/>
      <c r="D3" s="139"/>
      <c r="E3" s="139"/>
      <c r="F3" s="139"/>
      <c r="G3" s="140"/>
      <c r="H3" s="71"/>
      <c r="I3" s="72"/>
      <c r="J3" s="72"/>
      <c r="K3" s="2"/>
    </row>
    <row r="4" spans="1:22" s="1" customFormat="1" ht="65" x14ac:dyDescent="0.3">
      <c r="A4" s="137"/>
      <c r="B4" s="63" t="s">
        <v>10</v>
      </c>
      <c r="C4" s="63" t="s">
        <v>11</v>
      </c>
      <c r="D4" s="63" t="s">
        <v>12</v>
      </c>
      <c r="E4" s="63" t="s">
        <v>13</v>
      </c>
      <c r="F4" s="63" t="s">
        <v>14</v>
      </c>
      <c r="G4" s="63" t="s">
        <v>15</v>
      </c>
      <c r="H4" s="63" t="s">
        <v>16</v>
      </c>
      <c r="I4" s="63" t="s">
        <v>27</v>
      </c>
      <c r="J4" s="63" t="s">
        <v>17</v>
      </c>
      <c r="K4" s="2"/>
      <c r="N4" s="43"/>
      <c r="O4" s="43"/>
      <c r="P4" s="43"/>
      <c r="Q4" s="43"/>
      <c r="R4" s="43"/>
      <c r="S4" s="43"/>
      <c r="T4" s="43"/>
      <c r="U4" s="43"/>
      <c r="V4" s="43"/>
    </row>
    <row r="5" spans="1:22" s="1" customFormat="1" ht="25.15" customHeight="1" x14ac:dyDescent="0.3">
      <c r="A5" s="30" t="s">
        <v>74</v>
      </c>
      <c r="B5" s="17">
        <v>5</v>
      </c>
      <c r="C5" s="17">
        <v>15</v>
      </c>
      <c r="D5" s="17">
        <f>(B5+C5)*0.05</f>
        <v>1</v>
      </c>
      <c r="E5" s="17">
        <v>1</v>
      </c>
      <c r="F5" s="17">
        <f>(B5+C5+D5)*E5</f>
        <v>21</v>
      </c>
      <c r="G5" s="73">
        <f>((B5*$M$8)+(C5*$M$7)+(D5*$M$6))*E5</f>
        <v>2445.92</v>
      </c>
      <c r="H5" s="17">
        <f>'PSEU Counts'!E65</f>
        <v>100</v>
      </c>
      <c r="I5" s="33">
        <f>F5*H5</f>
        <v>2100</v>
      </c>
      <c r="J5" s="74">
        <f>G5*H5</f>
        <v>244592</v>
      </c>
      <c r="K5" s="2"/>
      <c r="L5" s="133" t="s">
        <v>0</v>
      </c>
      <c r="M5" s="133"/>
      <c r="P5" s="45"/>
      <c r="Q5" s="45"/>
      <c r="R5" s="45"/>
      <c r="S5" s="45"/>
      <c r="T5" s="45"/>
      <c r="U5" s="45"/>
      <c r="V5" s="46"/>
    </row>
    <row r="6" spans="1:22" s="1" customFormat="1" ht="25.15" customHeight="1" x14ac:dyDescent="0.3">
      <c r="A6" s="30" t="s">
        <v>75</v>
      </c>
      <c r="B6" s="17"/>
      <c r="C6" s="17"/>
      <c r="D6" s="17"/>
      <c r="E6" s="17"/>
      <c r="F6" s="17"/>
      <c r="G6" s="73"/>
      <c r="H6" s="35"/>
      <c r="I6" s="33"/>
      <c r="J6" s="74"/>
      <c r="K6" s="8"/>
      <c r="L6" s="12" t="s">
        <v>1</v>
      </c>
      <c r="M6" s="27">
        <f>'PSEU Counts'!$B$10</f>
        <v>163.16999999999999</v>
      </c>
      <c r="N6" s="44"/>
      <c r="O6" s="45"/>
      <c r="P6" s="45"/>
      <c r="Q6" s="45"/>
      <c r="R6" s="45"/>
      <c r="S6" s="47"/>
      <c r="T6" s="45"/>
      <c r="U6" s="45"/>
      <c r="V6" s="48"/>
    </row>
    <row r="7" spans="1:22" s="1" customFormat="1" ht="25.15" customHeight="1" x14ac:dyDescent="0.3">
      <c r="A7" s="32" t="s">
        <v>18</v>
      </c>
      <c r="B7" s="17">
        <v>0.75</v>
      </c>
      <c r="C7" s="17">
        <v>2.25</v>
      </c>
      <c r="D7" s="17">
        <f t="shared" ref="D7:D21" si="0">(B7+C7)*0.05</f>
        <v>0.15000000000000002</v>
      </c>
      <c r="E7" s="17">
        <v>1</v>
      </c>
      <c r="F7" s="17">
        <f t="shared" ref="F7:F21" si="1">(B7+C7+D7)*E7</f>
        <v>3.15</v>
      </c>
      <c r="G7" s="73">
        <f t="shared" ref="G7:G21" si="2">((B7*$M$8)+(C7*$M$7)+(D7*$M$6))*E7</f>
        <v>366.88800000000003</v>
      </c>
      <c r="H7" s="17">
        <f>'PSEU Counts'!F65</f>
        <v>74</v>
      </c>
      <c r="I7" s="33">
        <f t="shared" ref="I7:I21" si="3">F7*H7</f>
        <v>233.1</v>
      </c>
      <c r="J7" s="74">
        <f t="shared" ref="J7:J21" si="4">G7*H7</f>
        <v>27149.712000000003</v>
      </c>
      <c r="K7" s="2"/>
      <c r="L7" s="12" t="s">
        <v>2</v>
      </c>
      <c r="M7" s="27">
        <f>'PSEU Counts'!$B$9</f>
        <v>130.28</v>
      </c>
      <c r="N7" s="44"/>
      <c r="O7" s="45"/>
      <c r="P7" s="45"/>
      <c r="Q7" s="45"/>
      <c r="R7" s="45"/>
      <c r="S7" s="45"/>
      <c r="T7" s="45"/>
      <c r="U7" s="45"/>
      <c r="V7" s="48"/>
    </row>
    <row r="8" spans="1:22" s="1" customFormat="1" ht="25.15" customHeight="1" x14ac:dyDescent="0.3">
      <c r="A8" s="32" t="s">
        <v>19</v>
      </c>
      <c r="B8" s="17">
        <v>0.25</v>
      </c>
      <c r="C8" s="17">
        <v>0.75</v>
      </c>
      <c r="D8" s="17">
        <f t="shared" si="0"/>
        <v>0.05</v>
      </c>
      <c r="E8" s="17">
        <v>1</v>
      </c>
      <c r="F8" s="17">
        <f t="shared" si="1"/>
        <v>1.05</v>
      </c>
      <c r="G8" s="73">
        <f t="shared" si="2"/>
        <v>122.29600000000001</v>
      </c>
      <c r="H8" s="17">
        <f>'PSEU Counts'!G65</f>
        <v>134</v>
      </c>
      <c r="I8" s="33">
        <f t="shared" si="3"/>
        <v>140.70000000000002</v>
      </c>
      <c r="J8" s="74">
        <f t="shared" si="4"/>
        <v>16387.664000000001</v>
      </c>
      <c r="K8" s="2"/>
      <c r="L8" s="12" t="s">
        <v>3</v>
      </c>
      <c r="M8" s="27">
        <f>'PSEU Counts'!$B$8</f>
        <v>65.709999999999994</v>
      </c>
      <c r="N8" s="44"/>
      <c r="O8" s="45"/>
      <c r="P8" s="45"/>
      <c r="Q8" s="45"/>
      <c r="R8" s="45"/>
      <c r="S8" s="45"/>
      <c r="T8" s="45"/>
      <c r="U8" s="45"/>
      <c r="V8" s="48"/>
    </row>
    <row r="9" spans="1:22" s="1" customFormat="1" ht="25.15" customHeight="1" x14ac:dyDescent="0.3">
      <c r="A9" s="30" t="s">
        <v>76</v>
      </c>
      <c r="B9" s="17"/>
      <c r="C9" s="17"/>
      <c r="D9" s="17"/>
      <c r="E9" s="17"/>
      <c r="F9" s="17"/>
      <c r="G9" s="73"/>
      <c r="H9" s="17"/>
      <c r="I9" s="33"/>
      <c r="J9" s="74"/>
      <c r="K9" s="2"/>
      <c r="L9" s="56"/>
      <c r="M9" s="14"/>
      <c r="N9" s="44"/>
      <c r="O9" s="45"/>
      <c r="P9" s="45"/>
      <c r="Q9" s="45"/>
      <c r="R9" s="49"/>
      <c r="S9" s="49"/>
      <c r="T9" s="49"/>
      <c r="U9" s="49"/>
      <c r="V9" s="48"/>
    </row>
    <row r="10" spans="1:22" s="1" customFormat="1" ht="25.15" customHeight="1" x14ac:dyDescent="0.3">
      <c r="A10" s="32" t="s">
        <v>18</v>
      </c>
      <c r="B10" s="17">
        <v>4</v>
      </c>
      <c r="C10" s="17">
        <v>12</v>
      </c>
      <c r="D10" s="17">
        <f t="shared" si="0"/>
        <v>0.8</v>
      </c>
      <c r="E10" s="17">
        <v>1</v>
      </c>
      <c r="F10" s="17">
        <f t="shared" si="1"/>
        <v>16.8</v>
      </c>
      <c r="G10" s="73">
        <f t="shared" si="2"/>
        <v>1956.7360000000001</v>
      </c>
      <c r="H10" s="17">
        <f>H7</f>
        <v>74</v>
      </c>
      <c r="I10" s="33">
        <f t="shared" si="3"/>
        <v>1243.2</v>
      </c>
      <c r="J10" s="74">
        <f t="shared" si="4"/>
        <v>144798.46400000001</v>
      </c>
      <c r="K10" s="2"/>
      <c r="L10" s="65"/>
      <c r="M10" s="3"/>
      <c r="N10" s="44"/>
      <c r="O10" s="45"/>
      <c r="P10" s="45"/>
      <c r="Q10" s="45"/>
      <c r="R10" s="49"/>
      <c r="S10" s="49"/>
      <c r="T10" s="49"/>
      <c r="U10" s="49"/>
      <c r="V10" s="48"/>
    </row>
    <row r="11" spans="1:22" s="1" customFormat="1" ht="25.15" customHeight="1" x14ac:dyDescent="0.3">
      <c r="A11" s="32" t="s">
        <v>20</v>
      </c>
      <c r="B11" s="17">
        <v>2</v>
      </c>
      <c r="C11" s="17">
        <v>6</v>
      </c>
      <c r="D11" s="17">
        <f t="shared" si="0"/>
        <v>0.4</v>
      </c>
      <c r="E11" s="17">
        <v>1</v>
      </c>
      <c r="F11" s="17">
        <f t="shared" si="1"/>
        <v>8.4</v>
      </c>
      <c r="G11" s="73">
        <f t="shared" si="2"/>
        <v>978.36800000000005</v>
      </c>
      <c r="H11" s="17">
        <f>H8</f>
        <v>134</v>
      </c>
      <c r="I11" s="33">
        <f t="shared" si="3"/>
        <v>1125.6000000000001</v>
      </c>
      <c r="J11" s="74">
        <f t="shared" si="4"/>
        <v>131101.31200000001</v>
      </c>
      <c r="K11" s="2"/>
      <c r="L11" s="3"/>
      <c r="M11" s="3"/>
      <c r="N11" s="44"/>
      <c r="O11" s="45"/>
      <c r="P11" s="45"/>
      <c r="Q11" s="45"/>
      <c r="R11" s="49"/>
      <c r="S11" s="49"/>
      <c r="T11" s="49"/>
      <c r="U11" s="49"/>
      <c r="V11" s="48"/>
    </row>
    <row r="12" spans="1:22" s="1" customFormat="1" ht="25.15" customHeight="1" x14ac:dyDescent="0.3">
      <c r="A12" s="30" t="s">
        <v>77</v>
      </c>
      <c r="B12" s="17"/>
      <c r="C12" s="17"/>
      <c r="D12" s="17"/>
      <c r="E12" s="17"/>
      <c r="F12" s="17"/>
      <c r="G12" s="73"/>
      <c r="H12" s="17"/>
      <c r="I12" s="33"/>
      <c r="J12" s="74"/>
      <c r="K12" s="2"/>
      <c r="L12" s="4"/>
      <c r="M12" s="78"/>
      <c r="N12" s="44"/>
      <c r="O12" s="45"/>
      <c r="P12" s="45"/>
      <c r="Q12" s="45"/>
      <c r="R12" s="49"/>
      <c r="S12" s="49"/>
      <c r="T12" s="50"/>
      <c r="U12" s="50"/>
      <c r="V12" s="48"/>
    </row>
    <row r="13" spans="1:22" s="1" customFormat="1" ht="25.15" customHeight="1" x14ac:dyDescent="0.3">
      <c r="A13" s="32" t="s">
        <v>18</v>
      </c>
      <c r="B13" s="17">
        <v>0</v>
      </c>
      <c r="C13" s="17">
        <v>4</v>
      </c>
      <c r="D13" s="17">
        <f t="shared" si="0"/>
        <v>0.2</v>
      </c>
      <c r="E13" s="17">
        <v>1</v>
      </c>
      <c r="F13" s="17">
        <f t="shared" si="1"/>
        <v>4.2</v>
      </c>
      <c r="G13" s="73">
        <f t="shared" si="2"/>
        <v>553.75400000000002</v>
      </c>
      <c r="H13" s="17">
        <f>H7</f>
        <v>74</v>
      </c>
      <c r="I13" s="33">
        <f t="shared" si="3"/>
        <v>310.8</v>
      </c>
      <c r="J13" s="74">
        <f t="shared" si="4"/>
        <v>40977.796000000002</v>
      </c>
      <c r="K13" s="2"/>
      <c r="L13" s="4"/>
      <c r="M13" s="78"/>
      <c r="N13" s="44"/>
      <c r="O13" s="45"/>
      <c r="P13" s="45"/>
      <c r="Q13" s="45"/>
      <c r="R13" s="49"/>
      <c r="S13" s="49"/>
      <c r="T13" s="50"/>
      <c r="U13" s="50"/>
      <c r="V13" s="48"/>
    </row>
    <row r="14" spans="1:22" s="1" customFormat="1" ht="25.15" customHeight="1" x14ac:dyDescent="0.3">
      <c r="A14" s="32" t="s">
        <v>20</v>
      </c>
      <c r="B14" s="17">
        <v>0</v>
      </c>
      <c r="C14" s="17">
        <v>2</v>
      </c>
      <c r="D14" s="17">
        <f t="shared" si="0"/>
        <v>0.1</v>
      </c>
      <c r="E14" s="17">
        <v>1</v>
      </c>
      <c r="F14" s="17">
        <f t="shared" si="1"/>
        <v>2.1</v>
      </c>
      <c r="G14" s="73">
        <f t="shared" si="2"/>
        <v>276.87700000000001</v>
      </c>
      <c r="H14" s="17">
        <f>H8</f>
        <v>134</v>
      </c>
      <c r="I14" s="33">
        <f t="shared" si="3"/>
        <v>281.40000000000003</v>
      </c>
      <c r="J14" s="74">
        <f t="shared" si="4"/>
        <v>37101.518000000004</v>
      </c>
      <c r="K14" s="2"/>
      <c r="L14" s="4"/>
      <c r="M14" s="78"/>
      <c r="N14" s="44"/>
      <c r="O14" s="45"/>
      <c r="P14" s="45"/>
      <c r="Q14" s="45"/>
      <c r="R14" s="45"/>
      <c r="S14" s="45"/>
      <c r="T14" s="45"/>
      <c r="U14" s="45"/>
      <c r="V14" s="48"/>
    </row>
    <row r="15" spans="1:22" s="1" customFormat="1" ht="25.15" customHeight="1" x14ac:dyDescent="0.3">
      <c r="A15" s="30" t="s">
        <v>21</v>
      </c>
      <c r="B15" s="17">
        <v>1</v>
      </c>
      <c r="C15" s="17">
        <v>2</v>
      </c>
      <c r="D15" s="17">
        <f t="shared" si="0"/>
        <v>0.15000000000000002</v>
      </c>
      <c r="E15" s="35">
        <v>1</v>
      </c>
      <c r="F15" s="17">
        <f t="shared" si="1"/>
        <v>3.15</v>
      </c>
      <c r="G15" s="73">
        <f t="shared" si="2"/>
        <v>350.74549999999999</v>
      </c>
      <c r="H15" s="35">
        <f>'PSEU Counts'!AB65</f>
        <v>4324</v>
      </c>
      <c r="I15" s="33">
        <f t="shared" si="3"/>
        <v>13620.6</v>
      </c>
      <c r="J15" s="74">
        <f t="shared" si="4"/>
        <v>1516623.5419999999</v>
      </c>
      <c r="K15" s="8"/>
      <c r="L15" s="55"/>
      <c r="M15" s="5"/>
      <c r="N15" s="44"/>
      <c r="O15" s="45"/>
      <c r="P15" s="45"/>
      <c r="Q15" s="45"/>
      <c r="R15" s="45"/>
      <c r="S15" s="45"/>
      <c r="T15" s="45"/>
      <c r="U15" s="45"/>
      <c r="V15" s="48"/>
    </row>
    <row r="16" spans="1:22" s="1" customFormat="1" ht="25.15" customHeight="1" x14ac:dyDescent="0.3">
      <c r="A16" s="30" t="s">
        <v>22</v>
      </c>
      <c r="B16" s="17">
        <v>5</v>
      </c>
      <c r="C16" s="17">
        <v>20</v>
      </c>
      <c r="D16" s="17">
        <f t="shared" si="0"/>
        <v>1.25</v>
      </c>
      <c r="E16" s="35">
        <v>1</v>
      </c>
      <c r="F16" s="17">
        <f t="shared" si="1"/>
        <v>26.25</v>
      </c>
      <c r="G16" s="73">
        <f t="shared" si="2"/>
        <v>3138.1124999999997</v>
      </c>
      <c r="H16" s="35">
        <f>'PSEU Counts'!AC65</f>
        <v>8.8144000000000009</v>
      </c>
      <c r="I16" s="33">
        <f t="shared" si="3"/>
        <v>231.37800000000001</v>
      </c>
      <c r="J16" s="74">
        <f t="shared" si="4"/>
        <v>27660.578819999999</v>
      </c>
      <c r="K16" s="2"/>
      <c r="L16" s="55"/>
      <c r="N16" s="44"/>
      <c r="O16" s="45"/>
      <c r="P16" s="45"/>
      <c r="Q16" s="45"/>
      <c r="R16" s="45"/>
      <c r="S16" s="45"/>
      <c r="T16" s="45"/>
      <c r="U16" s="45"/>
      <c r="V16" s="48"/>
    </row>
    <row r="17" spans="1:22" s="1" customFormat="1" ht="25.15" customHeight="1" x14ac:dyDescent="0.3">
      <c r="A17" s="30" t="s">
        <v>23</v>
      </c>
      <c r="B17" s="17"/>
      <c r="C17" s="17"/>
      <c r="D17" s="17"/>
      <c r="E17" s="35"/>
      <c r="F17" s="17"/>
      <c r="G17" s="73"/>
      <c r="H17" s="34"/>
      <c r="I17" s="33"/>
      <c r="J17" s="74"/>
      <c r="K17" s="2"/>
      <c r="L17" s="55"/>
      <c r="N17" s="44"/>
      <c r="O17" s="45"/>
      <c r="P17" s="45"/>
      <c r="Q17" s="45"/>
      <c r="R17" s="45"/>
      <c r="S17" s="45"/>
      <c r="T17" s="45"/>
      <c r="U17" s="45"/>
      <c r="V17" s="48"/>
    </row>
    <row r="18" spans="1:22" s="1" customFormat="1" ht="25.15" customHeight="1" x14ac:dyDescent="0.3">
      <c r="A18" s="32" t="s">
        <v>24</v>
      </c>
      <c r="B18" s="17">
        <v>0</v>
      </c>
      <c r="C18" s="17">
        <v>0.15</v>
      </c>
      <c r="D18" s="17">
        <f t="shared" si="0"/>
        <v>7.4999999999999997E-3</v>
      </c>
      <c r="E18" s="35">
        <v>1</v>
      </c>
      <c r="F18" s="17">
        <f t="shared" si="1"/>
        <v>0.1575</v>
      </c>
      <c r="G18" s="73">
        <f t="shared" si="2"/>
        <v>20.765774999999998</v>
      </c>
      <c r="H18" s="35">
        <f>'PSEU Counts'!AD65</f>
        <v>1.1420000000000001</v>
      </c>
      <c r="I18" s="33">
        <f t="shared" si="3"/>
        <v>0.17986500000000002</v>
      </c>
      <c r="J18" s="74">
        <f t="shared" si="4"/>
        <v>23.714515049999999</v>
      </c>
      <c r="K18" s="2"/>
      <c r="L18" s="55"/>
      <c r="N18" s="44"/>
      <c r="O18" s="45"/>
      <c r="P18" s="45"/>
      <c r="Q18" s="45"/>
      <c r="R18" s="45"/>
      <c r="S18" s="45"/>
      <c r="T18" s="45"/>
      <c r="U18" s="45"/>
      <c r="V18" s="48"/>
    </row>
    <row r="19" spans="1:22" s="1" customFormat="1" ht="25.15" customHeight="1" x14ac:dyDescent="0.3">
      <c r="A19" s="32" t="s">
        <v>25</v>
      </c>
      <c r="B19" s="17">
        <v>0</v>
      </c>
      <c r="C19" s="17">
        <v>0.5</v>
      </c>
      <c r="D19" s="17">
        <f t="shared" si="0"/>
        <v>2.5000000000000001E-2</v>
      </c>
      <c r="E19" s="35">
        <v>1</v>
      </c>
      <c r="F19" s="17">
        <f t="shared" si="1"/>
        <v>0.52500000000000002</v>
      </c>
      <c r="G19" s="73">
        <f t="shared" si="2"/>
        <v>69.219250000000002</v>
      </c>
      <c r="H19" s="35">
        <f>'PSEU Counts'!AE65</f>
        <v>7.6724000000000006</v>
      </c>
      <c r="I19" s="33">
        <f t="shared" si="3"/>
        <v>4.0280100000000001</v>
      </c>
      <c r="J19" s="74">
        <f t="shared" si="4"/>
        <v>531.07777370000008</v>
      </c>
      <c r="K19" s="2"/>
      <c r="L19" s="55"/>
      <c r="N19" s="44"/>
      <c r="O19" s="45"/>
      <c r="P19" s="45"/>
      <c r="Q19" s="45"/>
      <c r="R19" s="45"/>
      <c r="S19" s="45"/>
      <c r="T19" s="45"/>
      <c r="U19" s="45"/>
      <c r="V19" s="48"/>
    </row>
    <row r="20" spans="1:22" s="1" customFormat="1" ht="25.15" customHeight="1" x14ac:dyDescent="0.3">
      <c r="A20" s="30" t="s">
        <v>26</v>
      </c>
      <c r="B20" s="17">
        <v>0</v>
      </c>
      <c r="C20" s="17">
        <v>0.5</v>
      </c>
      <c r="D20" s="17">
        <f t="shared" si="0"/>
        <v>2.5000000000000001E-2</v>
      </c>
      <c r="E20" s="17">
        <v>2</v>
      </c>
      <c r="F20" s="17">
        <f t="shared" si="1"/>
        <v>1.05</v>
      </c>
      <c r="G20" s="73">
        <f t="shared" si="2"/>
        <v>138.4385</v>
      </c>
      <c r="H20" s="17">
        <v>9</v>
      </c>
      <c r="I20" s="33">
        <f t="shared" si="3"/>
        <v>9.4500000000000011</v>
      </c>
      <c r="J20" s="74">
        <f t="shared" si="4"/>
        <v>1245.9465</v>
      </c>
      <c r="K20" s="2"/>
      <c r="L20" s="2"/>
      <c r="N20" s="44"/>
      <c r="O20" s="45"/>
      <c r="P20" s="45"/>
      <c r="Q20" s="45"/>
      <c r="R20" s="45"/>
      <c r="S20" s="45"/>
      <c r="T20" s="45"/>
      <c r="U20" s="45"/>
      <c r="V20" s="48"/>
    </row>
    <row r="21" spans="1:22" s="1" customFormat="1" ht="25.15" customHeight="1" x14ac:dyDescent="0.3">
      <c r="A21" s="30" t="s">
        <v>78</v>
      </c>
      <c r="B21" s="17">
        <v>0.7</v>
      </c>
      <c r="C21" s="17">
        <v>0</v>
      </c>
      <c r="D21" s="17">
        <f t="shared" si="0"/>
        <v>3.4999999999999996E-2</v>
      </c>
      <c r="E21" s="17">
        <v>1</v>
      </c>
      <c r="F21" s="17">
        <f t="shared" si="1"/>
        <v>0.73499999999999999</v>
      </c>
      <c r="G21" s="73">
        <f t="shared" si="2"/>
        <v>51.70794999999999</v>
      </c>
      <c r="H21" s="17">
        <v>0</v>
      </c>
      <c r="I21" s="33">
        <f t="shared" si="3"/>
        <v>0</v>
      </c>
      <c r="J21" s="74">
        <f t="shared" si="4"/>
        <v>0</v>
      </c>
      <c r="K21" s="2"/>
      <c r="N21" s="44"/>
      <c r="O21" s="45"/>
      <c r="P21" s="45"/>
      <c r="Q21" s="45"/>
      <c r="R21" s="45"/>
      <c r="S21" s="47"/>
      <c r="T21" s="45"/>
      <c r="U21" s="45"/>
      <c r="V21" s="48"/>
    </row>
    <row r="22" spans="1:22" s="1" customFormat="1" ht="25.15" customHeight="1" x14ac:dyDescent="0.35">
      <c r="A22" s="41" t="s">
        <v>79</v>
      </c>
      <c r="B22" s="141"/>
      <c r="C22" s="142"/>
      <c r="D22" s="142"/>
      <c r="E22" s="142"/>
      <c r="F22" s="142"/>
      <c r="G22" s="142"/>
      <c r="H22" s="143"/>
      <c r="I22" s="75">
        <f>SUM(I5:I21)</f>
        <v>19300.435875000003</v>
      </c>
      <c r="J22" s="76">
        <f>ROUND(SUM(J5:J21), -4)</f>
        <v>2190000</v>
      </c>
      <c r="K22" s="13"/>
      <c r="L22" s="13"/>
      <c r="M22" s="2"/>
      <c r="N22" s="44"/>
      <c r="O22" s="45"/>
      <c r="P22" s="45"/>
      <c r="Q22" s="45"/>
      <c r="R22" s="45"/>
      <c r="S22" s="45"/>
      <c r="T22" s="45"/>
      <c r="U22" s="45"/>
      <c r="V22" s="48"/>
    </row>
    <row r="23" spans="1:22" s="1" customFormat="1" ht="25.15" customHeight="1" x14ac:dyDescent="0.35">
      <c r="A23" s="41" t="s">
        <v>80</v>
      </c>
      <c r="B23" s="141"/>
      <c r="C23" s="142"/>
      <c r="D23" s="142"/>
      <c r="E23" s="142"/>
      <c r="F23" s="142"/>
      <c r="G23" s="142"/>
      <c r="H23" s="142"/>
      <c r="I23" s="143"/>
      <c r="J23" s="66">
        <v>0</v>
      </c>
      <c r="K23" s="2"/>
      <c r="N23" s="51"/>
      <c r="O23" s="51"/>
      <c r="P23" s="51"/>
      <c r="Q23" s="51"/>
      <c r="R23" s="51"/>
      <c r="S23" s="52"/>
      <c r="T23" s="52"/>
      <c r="U23" s="52"/>
      <c r="V23" s="53"/>
    </row>
    <row r="24" spans="1:22" s="1" customFormat="1" ht="25.15" customHeight="1" x14ac:dyDescent="0.35">
      <c r="A24" s="41" t="s">
        <v>81</v>
      </c>
      <c r="B24" s="141"/>
      <c r="C24" s="142"/>
      <c r="D24" s="142"/>
      <c r="E24" s="142"/>
      <c r="F24" s="142"/>
      <c r="G24" s="142"/>
      <c r="H24" s="142"/>
      <c r="I24" s="143"/>
      <c r="J24" s="66">
        <f>J22+J23</f>
        <v>2190000</v>
      </c>
      <c r="K24" s="2"/>
      <c r="N24" s="54"/>
      <c r="O24" s="54"/>
      <c r="P24" s="54"/>
      <c r="Q24" s="54"/>
      <c r="R24" s="54"/>
      <c r="S24" s="52"/>
      <c r="T24" s="52"/>
      <c r="U24" s="52"/>
      <c r="V24" s="53"/>
    </row>
    <row r="25" spans="1:22" s="1" customFormat="1" ht="13.5" x14ac:dyDescent="0.35">
      <c r="G25" s="36"/>
      <c r="I25" s="7"/>
      <c r="J25" s="7"/>
      <c r="K25" s="2"/>
      <c r="N25" s="54"/>
      <c r="O25" s="54"/>
      <c r="P25" s="54"/>
      <c r="Q25" s="54"/>
      <c r="R25" s="54"/>
      <c r="S25" s="54"/>
      <c r="T25" s="54"/>
      <c r="U25" s="54"/>
      <c r="V25" s="53"/>
    </row>
    <row r="26" spans="1:22" s="1" customFormat="1" ht="13.5" x14ac:dyDescent="0.35">
      <c r="A26" s="37" t="s">
        <v>4</v>
      </c>
      <c r="I26" s="7"/>
      <c r="J26" s="7"/>
      <c r="K26" s="2"/>
      <c r="N26" s="54"/>
      <c r="O26" s="54"/>
      <c r="P26" s="54"/>
      <c r="Q26" s="54"/>
      <c r="R26" s="54"/>
      <c r="S26" s="54"/>
      <c r="T26" s="54"/>
      <c r="U26" s="54"/>
      <c r="V26" s="53"/>
    </row>
    <row r="27" spans="1:22" s="1" customFormat="1" ht="24.65" customHeight="1" x14ac:dyDescent="0.3">
      <c r="A27" s="135" t="s">
        <v>82</v>
      </c>
      <c r="B27" s="146"/>
      <c r="C27" s="146"/>
      <c r="D27" s="146"/>
      <c r="E27" s="146"/>
      <c r="F27" s="146"/>
      <c r="G27" s="146"/>
      <c r="H27" s="146"/>
      <c r="I27" s="146"/>
      <c r="J27" s="69"/>
      <c r="K27" s="2"/>
      <c r="N27" s="26"/>
      <c r="O27" s="26"/>
      <c r="P27" s="26"/>
      <c r="Q27" s="26"/>
      <c r="R27" s="26"/>
      <c r="S27" s="26"/>
      <c r="T27" s="26"/>
      <c r="U27" s="26"/>
      <c r="V27" s="26"/>
    </row>
    <row r="28" spans="1:22" s="1" customFormat="1" ht="70.5" customHeight="1" x14ac:dyDescent="0.3">
      <c r="A28" s="135" t="s">
        <v>200</v>
      </c>
      <c r="B28" s="135"/>
      <c r="C28" s="135"/>
      <c r="D28" s="135"/>
      <c r="E28" s="135"/>
      <c r="F28" s="135"/>
      <c r="G28" s="135"/>
      <c r="H28" s="135"/>
      <c r="I28" s="135"/>
      <c r="J28" s="135"/>
      <c r="K28" s="2"/>
      <c r="N28" s="26"/>
      <c r="O28" s="26"/>
      <c r="P28" s="26"/>
      <c r="Q28" s="26"/>
      <c r="R28" s="26"/>
      <c r="S28" s="26"/>
      <c r="T28" s="26"/>
      <c r="U28" s="26"/>
      <c r="V28" s="26"/>
    </row>
    <row r="29" spans="1:22" s="1" customFormat="1" ht="19.149999999999999" customHeight="1" x14ac:dyDescent="0.3">
      <c r="A29" s="147" t="s">
        <v>83</v>
      </c>
      <c r="B29" s="145"/>
      <c r="C29" s="145"/>
      <c r="D29" s="145"/>
      <c r="E29" s="145"/>
      <c r="F29" s="145"/>
      <c r="G29" s="145"/>
      <c r="H29" s="145"/>
      <c r="I29" s="145"/>
      <c r="J29" s="70"/>
      <c r="K29" s="8"/>
      <c r="N29" s="26"/>
      <c r="O29" s="26"/>
      <c r="P29" s="26"/>
      <c r="Q29" s="26"/>
      <c r="R29" s="26"/>
      <c r="S29" s="26"/>
      <c r="T29" s="26"/>
      <c r="U29" s="26"/>
      <c r="V29" s="26"/>
    </row>
    <row r="30" spans="1:22" s="1" customFormat="1" ht="21.65" customHeight="1" x14ac:dyDescent="0.3">
      <c r="A30" s="147" t="s">
        <v>84</v>
      </c>
      <c r="B30" s="145"/>
      <c r="C30" s="145"/>
      <c r="D30" s="145"/>
      <c r="E30" s="145"/>
      <c r="F30" s="145"/>
      <c r="G30" s="145"/>
      <c r="H30" s="145"/>
      <c r="I30" s="145"/>
      <c r="J30" s="70"/>
      <c r="K30" s="2"/>
      <c r="N30" s="26"/>
      <c r="O30" s="26"/>
      <c r="P30" s="26"/>
      <c r="Q30" s="26"/>
      <c r="R30" s="26"/>
      <c r="S30" s="26"/>
      <c r="T30" s="26"/>
      <c r="U30" s="26"/>
      <c r="V30" s="26"/>
    </row>
    <row r="31" spans="1:22" s="1" customFormat="1" ht="20.25" customHeight="1" x14ac:dyDescent="0.3">
      <c r="A31" s="147" t="s">
        <v>85</v>
      </c>
      <c r="B31" s="145"/>
      <c r="C31" s="145"/>
      <c r="D31" s="145"/>
      <c r="E31" s="145"/>
      <c r="F31" s="145"/>
      <c r="G31" s="145"/>
      <c r="H31" s="145"/>
      <c r="I31" s="145"/>
      <c r="J31" s="70"/>
      <c r="N31" s="26"/>
      <c r="O31" s="26"/>
      <c r="P31" s="26"/>
      <c r="Q31" s="26"/>
      <c r="R31" s="26"/>
      <c r="S31" s="26"/>
      <c r="T31" s="26"/>
      <c r="U31" s="26"/>
      <c r="V31" s="26"/>
    </row>
    <row r="32" spans="1:22" s="1" customFormat="1" ht="24" customHeight="1" x14ac:dyDescent="0.3">
      <c r="A32" s="147" t="s">
        <v>86</v>
      </c>
      <c r="B32" s="145"/>
      <c r="C32" s="145"/>
      <c r="D32" s="145"/>
      <c r="E32" s="145"/>
      <c r="F32" s="145"/>
      <c r="G32" s="145"/>
      <c r="H32" s="145"/>
      <c r="I32" s="145"/>
      <c r="J32" s="70"/>
      <c r="N32" s="26"/>
      <c r="O32" s="26"/>
      <c r="P32" s="26"/>
      <c r="Q32" s="26"/>
      <c r="R32" s="26"/>
      <c r="S32" s="26"/>
      <c r="T32" s="26"/>
      <c r="U32" s="26"/>
      <c r="V32" s="26"/>
    </row>
    <row r="33" spans="1:22" s="1" customFormat="1" ht="17.25" customHeight="1" x14ac:dyDescent="0.3">
      <c r="A33" s="144" t="s">
        <v>87</v>
      </c>
      <c r="B33" s="145"/>
      <c r="C33" s="145"/>
      <c r="D33" s="145"/>
      <c r="E33" s="145"/>
      <c r="F33" s="145"/>
      <c r="G33" s="145"/>
      <c r="H33" s="145"/>
      <c r="I33" s="145"/>
      <c r="J33" s="70"/>
      <c r="N33" s="26"/>
      <c r="O33" s="26"/>
      <c r="P33" s="26"/>
      <c r="Q33" s="26"/>
      <c r="R33" s="26"/>
      <c r="S33" s="26"/>
      <c r="T33" s="26"/>
      <c r="U33" s="26"/>
      <c r="V33" s="26"/>
    </row>
    <row r="34" spans="1:22" s="1" customFormat="1" ht="30" customHeight="1" x14ac:dyDescent="0.3">
      <c r="A34" s="38"/>
      <c r="B34" s="38"/>
      <c r="C34" s="38"/>
      <c r="D34" s="38"/>
      <c r="E34" s="38"/>
      <c r="F34" s="38"/>
      <c r="G34" s="38"/>
      <c r="H34" s="38"/>
      <c r="I34" s="38"/>
      <c r="J34" s="38"/>
      <c r="N34" s="26"/>
      <c r="O34" s="26"/>
      <c r="P34" s="26"/>
      <c r="Q34" s="26"/>
      <c r="R34" s="26"/>
      <c r="S34" s="26"/>
      <c r="T34" s="26"/>
      <c r="U34" s="26"/>
      <c r="V34" s="26"/>
    </row>
    <row r="40" spans="1:22" ht="15.5" x14ac:dyDescent="0.35">
      <c r="A40" s="57"/>
      <c r="B40" s="57"/>
      <c r="C40" s="57"/>
    </row>
    <row r="41" spans="1:22" ht="15.5" x14ac:dyDescent="0.35">
      <c r="A41" s="57"/>
      <c r="B41" s="57"/>
      <c r="C41" s="57"/>
    </row>
    <row r="42" spans="1:22" ht="15.5" x14ac:dyDescent="0.35">
      <c r="A42" s="57"/>
      <c r="B42" s="57"/>
      <c r="C42" s="57"/>
    </row>
    <row r="43" spans="1:22" ht="15.5" x14ac:dyDescent="0.35">
      <c r="A43" s="58"/>
      <c r="B43" s="58"/>
      <c r="C43" s="58"/>
    </row>
    <row r="44" spans="1:22" ht="15.5" x14ac:dyDescent="0.35">
      <c r="A44" s="57"/>
      <c r="B44" s="57"/>
      <c r="C44" s="57"/>
    </row>
    <row r="45" spans="1:22" ht="15.5" x14ac:dyDescent="0.35">
      <c r="A45" s="57"/>
      <c r="B45" s="57"/>
      <c r="C45" s="57"/>
    </row>
    <row r="46" spans="1:22" ht="15.5" x14ac:dyDescent="0.35">
      <c r="A46" s="58"/>
      <c r="B46" s="58"/>
      <c r="C46" s="58"/>
    </row>
    <row r="47" spans="1:22" ht="15.5" x14ac:dyDescent="0.35">
      <c r="A47" s="58"/>
      <c r="B47" s="58"/>
      <c r="C47" s="58"/>
    </row>
    <row r="48" spans="1:22" ht="15.75" customHeight="1" x14ac:dyDescent="0.35">
      <c r="A48" s="57"/>
      <c r="B48" s="57"/>
      <c r="C48" s="57"/>
    </row>
    <row r="49" spans="1:3" ht="15" customHeight="1" x14ac:dyDescent="0.35">
      <c r="A49" s="57"/>
      <c r="B49" s="57"/>
      <c r="C49" s="57"/>
    </row>
    <row r="50" spans="1:3" ht="15.5" x14ac:dyDescent="0.35">
      <c r="A50" s="57"/>
      <c r="B50" s="57"/>
      <c r="C50" s="57"/>
    </row>
    <row r="51" spans="1:3" ht="15.5" x14ac:dyDescent="0.35">
      <c r="A51" s="58"/>
      <c r="B51" s="58"/>
      <c r="C51" s="58"/>
    </row>
    <row r="52" spans="1:3" ht="15.5" x14ac:dyDescent="0.35">
      <c r="A52" s="58"/>
      <c r="B52" s="57"/>
      <c r="C52" s="57"/>
    </row>
    <row r="53" spans="1:3" ht="15.5" x14ac:dyDescent="0.35">
      <c r="A53" s="57"/>
      <c r="B53" s="57"/>
      <c r="C53" s="57"/>
    </row>
    <row r="54" spans="1:3" ht="15.5" x14ac:dyDescent="0.35">
      <c r="A54" s="58"/>
      <c r="B54" s="57"/>
      <c r="C54" s="57"/>
    </row>
  </sheetData>
  <mergeCells count="13">
    <mergeCell ref="A33:I33"/>
    <mergeCell ref="A27:I27"/>
    <mergeCell ref="A29:I29"/>
    <mergeCell ref="A30:I30"/>
    <mergeCell ref="A31:I31"/>
    <mergeCell ref="A32:I32"/>
    <mergeCell ref="A28:J28"/>
    <mergeCell ref="B24:I24"/>
    <mergeCell ref="A3:A4"/>
    <mergeCell ref="B3:G3"/>
    <mergeCell ref="L5:M5"/>
    <mergeCell ref="B22:H22"/>
    <mergeCell ref="B23:I23"/>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D502C-4F2F-4A50-9FB0-95618E7242B1}">
  <dimension ref="A1:V54"/>
  <sheetViews>
    <sheetView topLeftCell="A18" zoomScale="87" zoomScaleNormal="87" workbookViewId="0">
      <selection activeCell="A3" sqref="A3:J33"/>
    </sheetView>
  </sheetViews>
  <sheetFormatPr defaultRowHeight="14.5" x14ac:dyDescent="0.35"/>
  <cols>
    <col min="1" max="1" width="44.1796875" customWidth="1"/>
    <col min="2" max="5" width="11" customWidth="1"/>
    <col min="6" max="6" width="11.7265625" customWidth="1"/>
    <col min="7" max="8" width="11" customWidth="1"/>
    <col min="9" max="10" width="12.7265625" customWidth="1"/>
    <col min="11" max="11" width="6.7265625" customWidth="1"/>
    <col min="12" max="12" width="11.453125" customWidth="1"/>
    <col min="13" max="13" width="7.7265625" customWidth="1"/>
    <col min="14" max="14" width="47.81640625" customWidth="1"/>
    <col min="15" max="15" width="12.1796875" customWidth="1"/>
    <col min="22" max="22" width="11.7265625" customWidth="1"/>
  </cols>
  <sheetData>
    <row r="1" spans="1:22" ht="20" x14ac:dyDescent="0.4">
      <c r="A1" s="31" t="s">
        <v>194</v>
      </c>
      <c r="B1" s="1"/>
      <c r="C1" s="1"/>
      <c r="D1" s="1"/>
      <c r="E1" s="1"/>
      <c r="F1" s="1"/>
      <c r="G1" s="1"/>
      <c r="H1" s="1"/>
      <c r="I1" s="7"/>
      <c r="J1" s="7"/>
      <c r="K1" s="1"/>
      <c r="L1" s="1"/>
      <c r="M1" s="1"/>
      <c r="N1" s="42"/>
      <c r="O1" s="11"/>
    </row>
    <row r="2" spans="1:22" s="1" customFormat="1" ht="13" x14ac:dyDescent="0.3">
      <c r="F2" s="6"/>
      <c r="G2" s="6"/>
      <c r="H2" s="6"/>
      <c r="I2" s="7"/>
      <c r="J2" s="7"/>
      <c r="K2" s="2"/>
    </row>
    <row r="3" spans="1:22" s="1" customFormat="1" ht="14.5" customHeight="1" x14ac:dyDescent="0.3">
      <c r="A3" s="136" t="s">
        <v>73</v>
      </c>
      <c r="B3" s="138" t="s">
        <v>72</v>
      </c>
      <c r="C3" s="139"/>
      <c r="D3" s="139"/>
      <c r="E3" s="139"/>
      <c r="F3" s="139"/>
      <c r="G3" s="140"/>
      <c r="H3" s="71"/>
      <c r="I3" s="72"/>
      <c r="J3" s="72"/>
      <c r="K3" s="2"/>
    </row>
    <row r="4" spans="1:22" s="1" customFormat="1" ht="65" x14ac:dyDescent="0.3">
      <c r="A4" s="137"/>
      <c r="B4" s="63" t="s">
        <v>10</v>
      </c>
      <c r="C4" s="63" t="s">
        <v>11</v>
      </c>
      <c r="D4" s="63" t="s">
        <v>12</v>
      </c>
      <c r="E4" s="63" t="s">
        <v>13</v>
      </c>
      <c r="F4" s="63" t="s">
        <v>14</v>
      </c>
      <c r="G4" s="63" t="s">
        <v>15</v>
      </c>
      <c r="H4" s="63" t="s">
        <v>16</v>
      </c>
      <c r="I4" s="63" t="s">
        <v>27</v>
      </c>
      <c r="J4" s="63" t="s">
        <v>17</v>
      </c>
      <c r="K4" s="2"/>
      <c r="N4" s="43"/>
      <c r="O4" s="43"/>
      <c r="P4" s="43"/>
      <c r="Q4" s="43"/>
      <c r="R4" s="43"/>
      <c r="S4" s="43"/>
      <c r="T4" s="43"/>
      <c r="U4" s="43"/>
      <c r="V4" s="43"/>
    </row>
    <row r="5" spans="1:22" s="1" customFormat="1" ht="25.15" customHeight="1" x14ac:dyDescent="0.3">
      <c r="A5" s="30" t="s">
        <v>74</v>
      </c>
      <c r="B5" s="17">
        <v>5</v>
      </c>
      <c r="C5" s="17">
        <v>15</v>
      </c>
      <c r="D5" s="17">
        <f>(B5+C5)*0.05</f>
        <v>1</v>
      </c>
      <c r="E5" s="17">
        <v>1</v>
      </c>
      <c r="F5" s="17">
        <f>(B5+C5+D5)*E5</f>
        <v>21</v>
      </c>
      <c r="G5" s="73">
        <f>((B5*$M$8)+(C5*$M$7)+(D5*$M$6))*E5</f>
        <v>2445.92</v>
      </c>
      <c r="H5" s="17">
        <f>'PSEU Counts'!E66</f>
        <v>100</v>
      </c>
      <c r="I5" s="33">
        <f>F5*H5</f>
        <v>2100</v>
      </c>
      <c r="J5" s="74">
        <f>G5*H5</f>
        <v>244592</v>
      </c>
      <c r="K5" s="2"/>
      <c r="L5" s="133" t="s">
        <v>0</v>
      </c>
      <c r="M5" s="133"/>
      <c r="P5" s="45"/>
      <c r="Q5" s="45"/>
      <c r="R5" s="45"/>
      <c r="S5" s="45"/>
      <c r="T5" s="45"/>
      <c r="U5" s="45"/>
      <c r="V5" s="46"/>
    </row>
    <row r="6" spans="1:22" s="1" customFormat="1" ht="25.15" customHeight="1" x14ac:dyDescent="0.3">
      <c r="A6" s="30" t="s">
        <v>75</v>
      </c>
      <c r="B6" s="17"/>
      <c r="C6" s="17"/>
      <c r="D6" s="17"/>
      <c r="E6" s="17"/>
      <c r="F6" s="17"/>
      <c r="G6" s="73"/>
      <c r="H6" s="35"/>
      <c r="I6" s="33"/>
      <c r="J6" s="74"/>
      <c r="K6" s="8"/>
      <c r="L6" s="12" t="s">
        <v>1</v>
      </c>
      <c r="M6" s="27">
        <f>'PSEU Counts'!$B$10</f>
        <v>163.16999999999999</v>
      </c>
      <c r="N6" s="44"/>
      <c r="O6" s="45"/>
      <c r="P6" s="45"/>
      <c r="Q6" s="45"/>
      <c r="R6" s="45"/>
      <c r="S6" s="47"/>
      <c r="T6" s="45"/>
      <c r="U6" s="45"/>
      <c r="V6" s="48"/>
    </row>
    <row r="7" spans="1:22" s="1" customFormat="1" ht="25.15" customHeight="1" x14ac:dyDescent="0.3">
      <c r="A7" s="32" t="s">
        <v>18</v>
      </c>
      <c r="B7" s="17">
        <v>0.75</v>
      </c>
      <c r="C7" s="17">
        <v>2.25</v>
      </c>
      <c r="D7" s="17">
        <f t="shared" ref="D7:D21" si="0">(B7+C7)*0.05</f>
        <v>0.15000000000000002</v>
      </c>
      <c r="E7" s="17">
        <v>1</v>
      </c>
      <c r="F7" s="17">
        <f t="shared" ref="F7:F21" si="1">(B7+C7+D7)*E7</f>
        <v>3.15</v>
      </c>
      <c r="G7" s="73">
        <f t="shared" ref="G7:G21" si="2">((B7*$M$8)+(C7*$M$7)+(D7*$M$6))*E7</f>
        <v>366.88800000000003</v>
      </c>
      <c r="H7" s="17">
        <f>'PSEU Counts'!F66</f>
        <v>74</v>
      </c>
      <c r="I7" s="33">
        <f t="shared" ref="I7:I21" si="3">F7*H7</f>
        <v>233.1</v>
      </c>
      <c r="J7" s="74">
        <f t="shared" ref="J7:J21" si="4">G7*H7</f>
        <v>27149.712000000003</v>
      </c>
      <c r="K7" s="2"/>
      <c r="L7" s="12" t="s">
        <v>2</v>
      </c>
      <c r="M7" s="27">
        <f>'PSEU Counts'!$B$9</f>
        <v>130.28</v>
      </c>
      <c r="N7" s="44"/>
      <c r="O7" s="45"/>
      <c r="P7" s="45"/>
      <c r="Q7" s="45"/>
      <c r="R7" s="45"/>
      <c r="S7" s="45"/>
      <c r="T7" s="45"/>
      <c r="U7" s="45"/>
      <c r="V7" s="48"/>
    </row>
    <row r="8" spans="1:22" s="1" customFormat="1" ht="25.15" customHeight="1" x14ac:dyDescent="0.3">
      <c r="A8" s="32" t="s">
        <v>19</v>
      </c>
      <c r="B8" s="17">
        <v>0.25</v>
      </c>
      <c r="C8" s="17">
        <v>0.75</v>
      </c>
      <c r="D8" s="17">
        <f t="shared" si="0"/>
        <v>0.05</v>
      </c>
      <c r="E8" s="17">
        <v>1</v>
      </c>
      <c r="F8" s="17">
        <f t="shared" si="1"/>
        <v>1.05</v>
      </c>
      <c r="G8" s="73">
        <f t="shared" si="2"/>
        <v>122.29600000000001</v>
      </c>
      <c r="H8" s="17">
        <f>'PSEU Counts'!G66</f>
        <v>134</v>
      </c>
      <c r="I8" s="33">
        <f t="shared" si="3"/>
        <v>140.70000000000002</v>
      </c>
      <c r="J8" s="74">
        <f t="shared" si="4"/>
        <v>16387.664000000001</v>
      </c>
      <c r="K8" s="2"/>
      <c r="L8" s="12" t="s">
        <v>3</v>
      </c>
      <c r="M8" s="27">
        <f>'PSEU Counts'!$B$8</f>
        <v>65.709999999999994</v>
      </c>
      <c r="N8" s="44"/>
      <c r="O8" s="45"/>
      <c r="P8" s="45"/>
      <c r="Q8" s="45"/>
      <c r="R8" s="45"/>
      <c r="S8" s="45"/>
      <c r="T8" s="45"/>
      <c r="U8" s="45"/>
      <c r="V8" s="48"/>
    </row>
    <row r="9" spans="1:22" s="1" customFormat="1" ht="25.15" customHeight="1" x14ac:dyDescent="0.3">
      <c r="A9" s="30" t="s">
        <v>76</v>
      </c>
      <c r="B9" s="17"/>
      <c r="C9" s="17"/>
      <c r="D9" s="17"/>
      <c r="E9" s="17"/>
      <c r="F9" s="17"/>
      <c r="G9" s="73"/>
      <c r="H9" s="17"/>
      <c r="I9" s="33"/>
      <c r="J9" s="74"/>
      <c r="K9" s="2"/>
      <c r="L9" s="56"/>
      <c r="M9" s="14"/>
      <c r="N9" s="44"/>
      <c r="O9" s="45"/>
      <c r="P9" s="45"/>
      <c r="Q9" s="45"/>
      <c r="R9" s="49"/>
      <c r="S9" s="49"/>
      <c r="T9" s="49"/>
      <c r="U9" s="49"/>
      <c r="V9" s="48"/>
    </row>
    <row r="10" spans="1:22" s="1" customFormat="1" ht="25.15" customHeight="1" x14ac:dyDescent="0.3">
      <c r="A10" s="32" t="s">
        <v>18</v>
      </c>
      <c r="B10" s="17">
        <v>4</v>
      </c>
      <c r="C10" s="17">
        <v>12</v>
      </c>
      <c r="D10" s="17">
        <f t="shared" si="0"/>
        <v>0.8</v>
      </c>
      <c r="E10" s="17">
        <v>1</v>
      </c>
      <c r="F10" s="17">
        <f t="shared" si="1"/>
        <v>16.8</v>
      </c>
      <c r="G10" s="73">
        <f t="shared" si="2"/>
        <v>1956.7360000000001</v>
      </c>
      <c r="H10" s="17">
        <f>H7</f>
        <v>74</v>
      </c>
      <c r="I10" s="33">
        <f t="shared" si="3"/>
        <v>1243.2</v>
      </c>
      <c r="J10" s="74">
        <f t="shared" si="4"/>
        <v>144798.46400000001</v>
      </c>
      <c r="K10" s="2"/>
      <c r="L10" s="65"/>
      <c r="M10" s="3"/>
      <c r="N10" s="44"/>
      <c r="O10" s="45"/>
      <c r="P10" s="45"/>
      <c r="Q10" s="45"/>
      <c r="R10" s="49"/>
      <c r="S10" s="49"/>
      <c r="T10" s="49"/>
      <c r="U10" s="49"/>
      <c r="V10" s="48"/>
    </row>
    <row r="11" spans="1:22" s="1" customFormat="1" ht="25.15" customHeight="1" x14ac:dyDescent="0.3">
      <c r="A11" s="32" t="s">
        <v>20</v>
      </c>
      <c r="B11" s="17">
        <v>2</v>
      </c>
      <c r="C11" s="17">
        <v>6</v>
      </c>
      <c r="D11" s="17">
        <f t="shared" si="0"/>
        <v>0.4</v>
      </c>
      <c r="E11" s="17">
        <v>1</v>
      </c>
      <c r="F11" s="17">
        <f t="shared" si="1"/>
        <v>8.4</v>
      </c>
      <c r="G11" s="73">
        <f t="shared" si="2"/>
        <v>978.36800000000005</v>
      </c>
      <c r="H11" s="17">
        <f>H8</f>
        <v>134</v>
      </c>
      <c r="I11" s="33">
        <f t="shared" si="3"/>
        <v>1125.6000000000001</v>
      </c>
      <c r="J11" s="74">
        <f t="shared" si="4"/>
        <v>131101.31200000001</v>
      </c>
      <c r="K11" s="2"/>
      <c r="L11" s="3"/>
      <c r="M11" s="3"/>
      <c r="N11" s="44"/>
      <c r="O11" s="45"/>
      <c r="P11" s="45"/>
      <c r="Q11" s="45"/>
      <c r="R11" s="49"/>
      <c r="S11" s="49"/>
      <c r="T11" s="49"/>
      <c r="U11" s="49"/>
      <c r="V11" s="48"/>
    </row>
    <row r="12" spans="1:22" s="1" customFormat="1" ht="25.15" customHeight="1" x14ac:dyDescent="0.3">
      <c r="A12" s="30" t="s">
        <v>77</v>
      </c>
      <c r="B12" s="17"/>
      <c r="C12" s="17"/>
      <c r="D12" s="17"/>
      <c r="E12" s="17"/>
      <c r="F12" s="17"/>
      <c r="G12" s="73"/>
      <c r="H12" s="17"/>
      <c r="I12" s="33"/>
      <c r="J12" s="74"/>
      <c r="K12" s="2"/>
      <c r="L12" s="4"/>
      <c r="M12" s="78"/>
      <c r="N12" s="44"/>
      <c r="O12" s="45"/>
      <c r="P12" s="45"/>
      <c r="Q12" s="45"/>
      <c r="R12" s="49"/>
      <c r="S12" s="49"/>
      <c r="T12" s="50"/>
      <c r="U12" s="50"/>
      <c r="V12" s="48"/>
    </row>
    <row r="13" spans="1:22" s="1" customFormat="1" ht="25.15" customHeight="1" x14ac:dyDescent="0.3">
      <c r="A13" s="32" t="s">
        <v>18</v>
      </c>
      <c r="B13" s="17">
        <v>0</v>
      </c>
      <c r="C13" s="17">
        <v>4</v>
      </c>
      <c r="D13" s="17">
        <f t="shared" si="0"/>
        <v>0.2</v>
      </c>
      <c r="E13" s="17">
        <v>1</v>
      </c>
      <c r="F13" s="17">
        <f t="shared" si="1"/>
        <v>4.2</v>
      </c>
      <c r="G13" s="73">
        <f t="shared" si="2"/>
        <v>553.75400000000002</v>
      </c>
      <c r="H13" s="17">
        <f>H7</f>
        <v>74</v>
      </c>
      <c r="I13" s="33">
        <f t="shared" si="3"/>
        <v>310.8</v>
      </c>
      <c r="J13" s="74">
        <f t="shared" si="4"/>
        <v>40977.796000000002</v>
      </c>
      <c r="K13" s="2"/>
      <c r="L13" s="4"/>
      <c r="M13" s="78"/>
      <c r="N13" s="44"/>
      <c r="O13" s="45"/>
      <c r="P13" s="45"/>
      <c r="Q13" s="45"/>
      <c r="R13" s="49"/>
      <c r="S13" s="49"/>
      <c r="T13" s="50"/>
      <c r="U13" s="50"/>
      <c r="V13" s="48"/>
    </row>
    <row r="14" spans="1:22" s="1" customFormat="1" ht="25.15" customHeight="1" x14ac:dyDescent="0.3">
      <c r="A14" s="32" t="s">
        <v>20</v>
      </c>
      <c r="B14" s="17">
        <v>0</v>
      </c>
      <c r="C14" s="17">
        <v>2</v>
      </c>
      <c r="D14" s="17">
        <f t="shared" si="0"/>
        <v>0.1</v>
      </c>
      <c r="E14" s="17">
        <v>1</v>
      </c>
      <c r="F14" s="17">
        <f t="shared" si="1"/>
        <v>2.1</v>
      </c>
      <c r="G14" s="73">
        <f t="shared" si="2"/>
        <v>276.87700000000001</v>
      </c>
      <c r="H14" s="17">
        <f>H8</f>
        <v>134</v>
      </c>
      <c r="I14" s="33">
        <f t="shared" si="3"/>
        <v>281.40000000000003</v>
      </c>
      <c r="J14" s="74">
        <f t="shared" si="4"/>
        <v>37101.518000000004</v>
      </c>
      <c r="K14" s="2"/>
      <c r="L14" s="4"/>
      <c r="M14" s="78"/>
      <c r="N14" s="44"/>
      <c r="O14" s="45"/>
      <c r="P14" s="45"/>
      <c r="Q14" s="45"/>
      <c r="R14" s="45"/>
      <c r="S14" s="45"/>
      <c r="T14" s="45"/>
      <c r="U14" s="45"/>
      <c r="V14" s="48"/>
    </row>
    <row r="15" spans="1:22" s="1" customFormat="1" ht="25.15" customHeight="1" x14ac:dyDescent="0.3">
      <c r="A15" s="30" t="s">
        <v>21</v>
      </c>
      <c r="B15" s="17">
        <v>1</v>
      </c>
      <c r="C15" s="17">
        <v>2</v>
      </c>
      <c r="D15" s="17">
        <f t="shared" si="0"/>
        <v>0.15000000000000002</v>
      </c>
      <c r="E15" s="35">
        <v>1</v>
      </c>
      <c r="F15" s="17">
        <f t="shared" si="1"/>
        <v>3.15</v>
      </c>
      <c r="G15" s="73">
        <f t="shared" si="2"/>
        <v>350.74549999999999</v>
      </c>
      <c r="H15" s="35">
        <f>'PSEU Counts'!AB66</f>
        <v>4324</v>
      </c>
      <c r="I15" s="33">
        <f t="shared" si="3"/>
        <v>13620.6</v>
      </c>
      <c r="J15" s="74">
        <f t="shared" si="4"/>
        <v>1516623.5419999999</v>
      </c>
      <c r="K15" s="8"/>
      <c r="L15" s="55"/>
      <c r="M15" s="5"/>
      <c r="N15" s="44"/>
      <c r="O15" s="45"/>
      <c r="P15" s="45"/>
      <c r="Q15" s="45"/>
      <c r="R15" s="45"/>
      <c r="S15" s="45"/>
      <c r="T15" s="45"/>
      <c r="U15" s="45"/>
      <c r="V15" s="48"/>
    </row>
    <row r="16" spans="1:22" s="1" customFormat="1" ht="25.15" customHeight="1" x14ac:dyDescent="0.3">
      <c r="A16" s="30" t="s">
        <v>22</v>
      </c>
      <c r="B16" s="17">
        <v>5</v>
      </c>
      <c r="C16" s="17">
        <v>20</v>
      </c>
      <c r="D16" s="17">
        <f t="shared" si="0"/>
        <v>1.25</v>
      </c>
      <c r="E16" s="35">
        <v>1</v>
      </c>
      <c r="F16" s="17">
        <f t="shared" si="1"/>
        <v>26.25</v>
      </c>
      <c r="G16" s="73">
        <f t="shared" si="2"/>
        <v>3138.1124999999997</v>
      </c>
      <c r="H16" s="35">
        <f>'PSEU Counts'!AC66</f>
        <v>8.8976000000000006</v>
      </c>
      <c r="I16" s="33">
        <f t="shared" si="3"/>
        <v>233.56200000000001</v>
      </c>
      <c r="J16" s="74">
        <f t="shared" si="4"/>
        <v>27921.66978</v>
      </c>
      <c r="K16" s="2"/>
      <c r="L16" s="55"/>
      <c r="N16" s="44"/>
      <c r="O16" s="45"/>
      <c r="P16" s="45"/>
      <c r="Q16" s="45"/>
      <c r="R16" s="45"/>
      <c r="S16" s="45"/>
      <c r="T16" s="45"/>
      <c r="U16" s="45"/>
      <c r="V16" s="48"/>
    </row>
    <row r="17" spans="1:22" s="1" customFormat="1" ht="25.15" customHeight="1" x14ac:dyDescent="0.3">
      <c r="A17" s="30" t="s">
        <v>23</v>
      </c>
      <c r="B17" s="17"/>
      <c r="C17" s="17"/>
      <c r="D17" s="17"/>
      <c r="E17" s="35"/>
      <c r="F17" s="17"/>
      <c r="G17" s="73"/>
      <c r="H17" s="35"/>
      <c r="I17" s="33"/>
      <c r="J17" s="74"/>
      <c r="K17" s="2"/>
      <c r="L17" s="55"/>
      <c r="N17" s="44"/>
      <c r="O17" s="45"/>
      <c r="P17" s="45"/>
      <c r="Q17" s="45"/>
      <c r="R17" s="45"/>
      <c r="S17" s="45"/>
      <c r="T17" s="45"/>
      <c r="U17" s="45"/>
      <c r="V17" s="48"/>
    </row>
    <row r="18" spans="1:22" s="1" customFormat="1" ht="25.15" customHeight="1" x14ac:dyDescent="0.3">
      <c r="A18" s="32" t="s">
        <v>24</v>
      </c>
      <c r="B18" s="17">
        <v>0</v>
      </c>
      <c r="C18" s="17">
        <v>0.15</v>
      </c>
      <c r="D18" s="17">
        <f t="shared" si="0"/>
        <v>7.4999999999999997E-3</v>
      </c>
      <c r="E18" s="35">
        <v>1</v>
      </c>
      <c r="F18" s="17">
        <f t="shared" si="1"/>
        <v>0.1575</v>
      </c>
      <c r="G18" s="73">
        <f t="shared" si="2"/>
        <v>20.765774999999998</v>
      </c>
      <c r="H18" s="35">
        <f>'PSEU Counts'!AD66</f>
        <v>1.1556</v>
      </c>
      <c r="I18" s="33">
        <f t="shared" si="3"/>
        <v>0.182007</v>
      </c>
      <c r="J18" s="74">
        <f t="shared" si="4"/>
        <v>23.996929589999997</v>
      </c>
      <c r="K18" s="2"/>
      <c r="L18" s="55"/>
      <c r="N18" s="44"/>
      <c r="O18" s="45"/>
      <c r="P18" s="45"/>
      <c r="Q18" s="45"/>
      <c r="R18" s="45"/>
      <c r="S18" s="45"/>
      <c r="T18" s="45"/>
      <c r="U18" s="45"/>
      <c r="V18" s="48"/>
    </row>
    <row r="19" spans="1:22" s="1" customFormat="1" ht="25.15" customHeight="1" x14ac:dyDescent="0.3">
      <c r="A19" s="32" t="s">
        <v>25</v>
      </c>
      <c r="B19" s="17">
        <v>0</v>
      </c>
      <c r="C19" s="17">
        <v>0.5</v>
      </c>
      <c r="D19" s="17">
        <f t="shared" si="0"/>
        <v>2.5000000000000001E-2</v>
      </c>
      <c r="E19" s="35">
        <v>1</v>
      </c>
      <c r="F19" s="17">
        <f t="shared" si="1"/>
        <v>0.52500000000000002</v>
      </c>
      <c r="G19" s="73">
        <f t="shared" si="2"/>
        <v>69.219250000000002</v>
      </c>
      <c r="H19" s="35">
        <f>'PSEU Counts'!AE66</f>
        <v>7.742</v>
      </c>
      <c r="I19" s="33">
        <f t="shared" si="3"/>
        <v>4.0645500000000006</v>
      </c>
      <c r="J19" s="74">
        <f t="shared" si="4"/>
        <v>535.89543349999997</v>
      </c>
      <c r="K19" s="2"/>
      <c r="L19" s="55"/>
      <c r="N19" s="44"/>
      <c r="O19" s="45"/>
      <c r="P19" s="45"/>
      <c r="Q19" s="45"/>
      <c r="R19" s="45"/>
      <c r="S19" s="45"/>
      <c r="T19" s="45"/>
      <c r="U19" s="45"/>
      <c r="V19" s="48"/>
    </row>
    <row r="20" spans="1:22" s="1" customFormat="1" ht="25.15" customHeight="1" x14ac:dyDescent="0.3">
      <c r="A20" s="30" t="s">
        <v>26</v>
      </c>
      <c r="B20" s="17">
        <v>0</v>
      </c>
      <c r="C20" s="17">
        <v>0.5</v>
      </c>
      <c r="D20" s="17">
        <f t="shared" si="0"/>
        <v>2.5000000000000001E-2</v>
      </c>
      <c r="E20" s="17">
        <v>2</v>
      </c>
      <c r="F20" s="17">
        <f t="shared" si="1"/>
        <v>1.05</v>
      </c>
      <c r="G20" s="73">
        <f t="shared" si="2"/>
        <v>138.4385</v>
      </c>
      <c r="H20" s="17">
        <v>9</v>
      </c>
      <c r="I20" s="33">
        <f t="shared" si="3"/>
        <v>9.4500000000000011</v>
      </c>
      <c r="J20" s="74">
        <f t="shared" si="4"/>
        <v>1245.9465</v>
      </c>
      <c r="K20" s="2"/>
      <c r="L20" s="2"/>
      <c r="N20" s="44"/>
      <c r="O20" s="45"/>
      <c r="P20" s="45"/>
      <c r="Q20" s="45"/>
      <c r="R20" s="45"/>
      <c r="S20" s="45"/>
      <c r="T20" s="45"/>
      <c r="U20" s="45"/>
      <c r="V20" s="48"/>
    </row>
    <row r="21" spans="1:22" s="1" customFormat="1" ht="25.15" customHeight="1" x14ac:dyDescent="0.3">
      <c r="A21" s="30" t="s">
        <v>78</v>
      </c>
      <c r="B21" s="17">
        <v>0.7</v>
      </c>
      <c r="C21" s="17">
        <v>0</v>
      </c>
      <c r="D21" s="17">
        <f t="shared" si="0"/>
        <v>3.4999999999999996E-2</v>
      </c>
      <c r="E21" s="17">
        <v>1</v>
      </c>
      <c r="F21" s="17">
        <f t="shared" si="1"/>
        <v>0.73499999999999999</v>
      </c>
      <c r="G21" s="73">
        <f t="shared" si="2"/>
        <v>51.70794999999999</v>
      </c>
      <c r="H21" s="17">
        <v>0</v>
      </c>
      <c r="I21" s="33">
        <f t="shared" si="3"/>
        <v>0</v>
      </c>
      <c r="J21" s="74">
        <f t="shared" si="4"/>
        <v>0</v>
      </c>
      <c r="K21" s="2"/>
      <c r="N21" s="44"/>
      <c r="O21" s="45"/>
      <c r="P21" s="45"/>
      <c r="Q21" s="45"/>
      <c r="R21" s="45"/>
      <c r="S21" s="47"/>
      <c r="T21" s="45"/>
      <c r="U21" s="45"/>
      <c r="V21" s="48"/>
    </row>
    <row r="22" spans="1:22" s="1" customFormat="1" ht="25.15" customHeight="1" x14ac:dyDescent="0.35">
      <c r="A22" s="41" t="s">
        <v>79</v>
      </c>
      <c r="B22" s="141"/>
      <c r="C22" s="142"/>
      <c r="D22" s="142"/>
      <c r="E22" s="142"/>
      <c r="F22" s="142"/>
      <c r="G22" s="142"/>
      <c r="H22" s="143"/>
      <c r="I22" s="75">
        <f>ROUND(SUM(I5:I21),-2)</f>
        <v>19300</v>
      </c>
      <c r="J22" s="76">
        <f>ROUND(SUM(J5:J21), -4)</f>
        <v>2190000</v>
      </c>
      <c r="K22" s="13"/>
      <c r="L22" s="13"/>
      <c r="M22" s="2"/>
      <c r="N22" s="44"/>
      <c r="O22" s="45"/>
      <c r="P22" s="45"/>
      <c r="Q22" s="45"/>
      <c r="R22" s="45"/>
      <c r="S22" s="45"/>
      <c r="T22" s="45"/>
      <c r="U22" s="45"/>
      <c r="V22" s="48"/>
    </row>
    <row r="23" spans="1:22" s="1" customFormat="1" ht="25.15" customHeight="1" x14ac:dyDescent="0.35">
      <c r="A23" s="41" t="s">
        <v>80</v>
      </c>
      <c r="B23" s="141"/>
      <c r="C23" s="142"/>
      <c r="D23" s="142"/>
      <c r="E23" s="142"/>
      <c r="F23" s="142"/>
      <c r="G23" s="142"/>
      <c r="H23" s="142"/>
      <c r="I23" s="143"/>
      <c r="J23" s="66">
        <v>0</v>
      </c>
      <c r="K23" s="2"/>
      <c r="N23" s="51"/>
      <c r="O23" s="51"/>
      <c r="P23" s="51"/>
      <c r="Q23" s="51"/>
      <c r="R23" s="51"/>
      <c r="S23" s="52"/>
      <c r="T23" s="52"/>
      <c r="U23" s="52"/>
      <c r="V23" s="53"/>
    </row>
    <row r="24" spans="1:22" s="1" customFormat="1" ht="25.15" customHeight="1" x14ac:dyDescent="0.35">
      <c r="A24" s="41" t="s">
        <v>81</v>
      </c>
      <c r="B24" s="141"/>
      <c r="C24" s="142"/>
      <c r="D24" s="142"/>
      <c r="E24" s="142"/>
      <c r="F24" s="142"/>
      <c r="G24" s="142"/>
      <c r="H24" s="142"/>
      <c r="I24" s="143"/>
      <c r="J24" s="66">
        <f>J22+J23</f>
        <v>2190000</v>
      </c>
      <c r="K24" s="2"/>
      <c r="N24" s="54"/>
      <c r="O24" s="54"/>
      <c r="P24" s="54"/>
      <c r="Q24" s="54"/>
      <c r="R24" s="54"/>
      <c r="S24" s="52"/>
      <c r="T24" s="52"/>
      <c r="U24" s="52"/>
      <c r="V24" s="53"/>
    </row>
    <row r="25" spans="1:22" s="1" customFormat="1" ht="13.5" x14ac:dyDescent="0.35">
      <c r="G25" s="36"/>
      <c r="I25" s="7"/>
      <c r="J25" s="7"/>
      <c r="K25" s="2"/>
      <c r="N25" s="54"/>
      <c r="O25" s="54"/>
      <c r="P25" s="54"/>
      <c r="Q25" s="54"/>
      <c r="R25" s="54"/>
      <c r="S25" s="54"/>
      <c r="T25" s="54"/>
      <c r="U25" s="54"/>
      <c r="V25" s="53"/>
    </row>
    <row r="26" spans="1:22" s="1" customFormat="1" ht="13.5" x14ac:dyDescent="0.35">
      <c r="A26" s="37" t="s">
        <v>4</v>
      </c>
      <c r="I26" s="7"/>
      <c r="J26" s="7"/>
      <c r="K26" s="2"/>
      <c r="N26" s="54"/>
      <c r="O26" s="54"/>
      <c r="P26" s="54"/>
      <c r="Q26" s="54"/>
      <c r="R26" s="54"/>
      <c r="S26" s="54"/>
      <c r="T26" s="54"/>
      <c r="U26" s="54"/>
      <c r="V26" s="53"/>
    </row>
    <row r="27" spans="1:22" s="1" customFormat="1" ht="22.15" customHeight="1" x14ac:dyDescent="0.3">
      <c r="A27" s="135" t="s">
        <v>82</v>
      </c>
      <c r="B27" s="146"/>
      <c r="C27" s="146"/>
      <c r="D27" s="146"/>
      <c r="E27" s="146"/>
      <c r="F27" s="146"/>
      <c r="G27" s="146"/>
      <c r="H27" s="146"/>
      <c r="I27" s="146"/>
      <c r="J27" s="69"/>
      <c r="K27" s="2"/>
      <c r="N27" s="26"/>
      <c r="O27" s="26"/>
      <c r="P27" s="26"/>
      <c r="Q27" s="26"/>
      <c r="R27" s="26"/>
      <c r="S27" s="26"/>
      <c r="T27" s="26"/>
      <c r="U27" s="26"/>
      <c r="V27" s="26"/>
    </row>
    <row r="28" spans="1:22" s="1" customFormat="1" ht="73.5" customHeight="1" x14ac:dyDescent="0.3">
      <c r="A28" s="135" t="s">
        <v>200</v>
      </c>
      <c r="B28" s="135"/>
      <c r="C28" s="135"/>
      <c r="D28" s="135"/>
      <c r="E28" s="135"/>
      <c r="F28" s="135"/>
      <c r="G28" s="135"/>
      <c r="H28" s="135"/>
      <c r="I28" s="135"/>
      <c r="J28" s="135"/>
      <c r="K28" s="2"/>
      <c r="N28" s="26"/>
      <c r="O28" s="26"/>
      <c r="P28" s="26"/>
      <c r="Q28" s="26"/>
      <c r="R28" s="26"/>
      <c r="S28" s="26"/>
      <c r="T28" s="26"/>
      <c r="U28" s="26"/>
      <c r="V28" s="26"/>
    </row>
    <row r="29" spans="1:22" s="1" customFormat="1" ht="21" customHeight="1" x14ac:dyDescent="0.3">
      <c r="A29" s="147" t="s">
        <v>83</v>
      </c>
      <c r="B29" s="145"/>
      <c r="C29" s="145"/>
      <c r="D29" s="145"/>
      <c r="E29" s="145"/>
      <c r="F29" s="145"/>
      <c r="G29" s="145"/>
      <c r="H29" s="145"/>
      <c r="I29" s="145"/>
      <c r="J29" s="70"/>
      <c r="K29" s="8"/>
      <c r="N29" s="26"/>
      <c r="O29" s="26"/>
      <c r="P29" s="26"/>
      <c r="Q29" s="26"/>
      <c r="R29" s="26"/>
      <c r="S29" s="26"/>
      <c r="T29" s="26"/>
      <c r="U29" s="26"/>
      <c r="V29" s="26"/>
    </row>
    <row r="30" spans="1:22" s="1" customFormat="1" ht="19.899999999999999" customHeight="1" x14ac:dyDescent="0.3">
      <c r="A30" s="147" t="s">
        <v>84</v>
      </c>
      <c r="B30" s="145"/>
      <c r="C30" s="145"/>
      <c r="D30" s="145"/>
      <c r="E30" s="145"/>
      <c r="F30" s="145"/>
      <c r="G30" s="145"/>
      <c r="H30" s="145"/>
      <c r="I30" s="145"/>
      <c r="J30" s="70"/>
      <c r="K30" s="2"/>
      <c r="N30" s="26"/>
      <c r="O30" s="26"/>
      <c r="P30" s="26"/>
      <c r="Q30" s="26"/>
      <c r="R30" s="26"/>
      <c r="S30" s="26"/>
      <c r="T30" s="26"/>
      <c r="U30" s="26"/>
      <c r="V30" s="26"/>
    </row>
    <row r="31" spans="1:22" s="1" customFormat="1" ht="20.25" customHeight="1" x14ac:dyDescent="0.3">
      <c r="A31" s="147" t="s">
        <v>85</v>
      </c>
      <c r="B31" s="145"/>
      <c r="C31" s="145"/>
      <c r="D31" s="145"/>
      <c r="E31" s="145"/>
      <c r="F31" s="145"/>
      <c r="G31" s="145"/>
      <c r="H31" s="145"/>
      <c r="I31" s="145"/>
      <c r="J31" s="70"/>
      <c r="N31" s="26"/>
      <c r="O31" s="26"/>
      <c r="P31" s="26"/>
      <c r="Q31" s="26"/>
      <c r="R31" s="26"/>
      <c r="S31" s="26"/>
      <c r="T31" s="26"/>
      <c r="U31" s="26"/>
      <c r="V31" s="26"/>
    </row>
    <row r="32" spans="1:22" s="1" customFormat="1" ht="29.25" customHeight="1" x14ac:dyDescent="0.3">
      <c r="A32" s="147" t="s">
        <v>86</v>
      </c>
      <c r="B32" s="145"/>
      <c r="C32" s="145"/>
      <c r="D32" s="145"/>
      <c r="E32" s="145"/>
      <c r="F32" s="145"/>
      <c r="G32" s="145"/>
      <c r="H32" s="145"/>
      <c r="I32" s="145"/>
      <c r="J32" s="70"/>
      <c r="N32" s="26"/>
      <c r="O32" s="26"/>
      <c r="P32" s="26"/>
      <c r="Q32" s="26"/>
      <c r="R32" s="26"/>
      <c r="S32" s="26"/>
      <c r="T32" s="26"/>
      <c r="U32" s="26"/>
      <c r="V32" s="26"/>
    </row>
    <row r="33" spans="1:22" s="1" customFormat="1" ht="22.15" customHeight="1" x14ac:dyDescent="0.3">
      <c r="A33" s="144" t="s">
        <v>87</v>
      </c>
      <c r="B33" s="145"/>
      <c r="C33" s="145"/>
      <c r="D33" s="145"/>
      <c r="E33" s="145"/>
      <c r="F33" s="145"/>
      <c r="G33" s="145"/>
      <c r="H33" s="145"/>
      <c r="I33" s="145"/>
      <c r="J33" s="70"/>
      <c r="N33" s="26"/>
      <c r="O33" s="26"/>
      <c r="P33" s="26"/>
      <c r="Q33" s="26"/>
      <c r="R33" s="26"/>
      <c r="S33" s="26"/>
      <c r="T33" s="26"/>
      <c r="U33" s="26"/>
      <c r="V33" s="26"/>
    </row>
    <row r="34" spans="1:22" s="1" customFormat="1" ht="30" customHeight="1" x14ac:dyDescent="0.3">
      <c r="A34" s="38"/>
      <c r="B34" s="38"/>
      <c r="C34" s="38"/>
      <c r="D34" s="38"/>
      <c r="E34" s="38"/>
      <c r="F34" s="38"/>
      <c r="G34" s="38"/>
      <c r="H34" s="38"/>
      <c r="I34" s="38"/>
      <c r="J34" s="38"/>
      <c r="N34" s="26"/>
      <c r="O34" s="26"/>
      <c r="P34" s="26"/>
      <c r="Q34" s="26"/>
      <c r="R34" s="26"/>
      <c r="S34" s="26"/>
      <c r="T34" s="26"/>
      <c r="U34" s="26"/>
      <c r="V34" s="26"/>
    </row>
    <row r="40" spans="1:22" ht="15.5" x14ac:dyDescent="0.35">
      <c r="A40" s="57"/>
      <c r="B40" s="57"/>
      <c r="C40" s="57"/>
    </row>
    <row r="41" spans="1:22" ht="15.5" x14ac:dyDescent="0.35">
      <c r="A41" s="57"/>
      <c r="B41" s="57"/>
      <c r="C41" s="57"/>
    </row>
    <row r="42" spans="1:22" ht="15.5" x14ac:dyDescent="0.35">
      <c r="A42" s="57"/>
      <c r="B42" s="57"/>
      <c r="C42" s="57"/>
    </row>
    <row r="43" spans="1:22" ht="15.5" x14ac:dyDescent="0.35">
      <c r="A43" s="58"/>
      <c r="B43" s="58"/>
      <c r="C43" s="58"/>
    </row>
    <row r="44" spans="1:22" ht="15.5" x14ac:dyDescent="0.35">
      <c r="A44" s="57"/>
      <c r="B44" s="57"/>
      <c r="C44" s="57"/>
    </row>
    <row r="45" spans="1:22" ht="15.5" x14ac:dyDescent="0.35">
      <c r="A45" s="57"/>
      <c r="B45" s="57"/>
      <c r="C45" s="57"/>
    </row>
    <row r="46" spans="1:22" ht="15.5" x14ac:dyDescent="0.35">
      <c r="A46" s="58"/>
      <c r="B46" s="58"/>
      <c r="C46" s="58"/>
    </row>
    <row r="47" spans="1:22" ht="15.5" x14ac:dyDescent="0.35">
      <c r="A47" s="58"/>
      <c r="B47" s="58"/>
      <c r="C47" s="58"/>
    </row>
    <row r="48" spans="1:22" ht="15.75" customHeight="1" x14ac:dyDescent="0.35">
      <c r="A48" s="57"/>
      <c r="B48" s="57"/>
      <c r="C48" s="57"/>
    </row>
    <row r="49" spans="1:3" ht="15" customHeight="1" x14ac:dyDescent="0.35">
      <c r="A49" s="57"/>
      <c r="B49" s="57"/>
      <c r="C49" s="57"/>
    </row>
    <row r="50" spans="1:3" ht="15.5" x14ac:dyDescent="0.35">
      <c r="A50" s="57"/>
      <c r="B50" s="57"/>
      <c r="C50" s="57"/>
    </row>
    <row r="51" spans="1:3" ht="15.5" x14ac:dyDescent="0.35">
      <c r="A51" s="58"/>
      <c r="B51" s="58"/>
      <c r="C51" s="58"/>
    </row>
    <row r="52" spans="1:3" ht="15.5" x14ac:dyDescent="0.35">
      <c r="A52" s="58"/>
      <c r="B52" s="57"/>
      <c r="C52" s="57"/>
    </row>
    <row r="53" spans="1:3" ht="15.5" x14ac:dyDescent="0.35">
      <c r="A53" s="57"/>
      <c r="B53" s="57"/>
      <c r="C53" s="57"/>
    </row>
    <row r="54" spans="1:3" ht="15.5" x14ac:dyDescent="0.35">
      <c r="A54" s="58"/>
      <c r="B54" s="57"/>
      <c r="C54" s="57"/>
    </row>
  </sheetData>
  <mergeCells count="13">
    <mergeCell ref="A33:I33"/>
    <mergeCell ref="A27:I27"/>
    <mergeCell ref="A29:I29"/>
    <mergeCell ref="A30:I30"/>
    <mergeCell ref="A31:I31"/>
    <mergeCell ref="A32:I32"/>
    <mergeCell ref="A28:J28"/>
    <mergeCell ref="B24:I24"/>
    <mergeCell ref="A3:A4"/>
    <mergeCell ref="B3:G3"/>
    <mergeCell ref="L5:M5"/>
    <mergeCell ref="B22:H22"/>
    <mergeCell ref="B23:I23"/>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I31"/>
  <sheetViews>
    <sheetView topLeftCell="A5" workbookViewId="0">
      <selection activeCell="A3" sqref="A3:F21"/>
    </sheetView>
  </sheetViews>
  <sheetFormatPr defaultRowHeight="14.5" x14ac:dyDescent="0.35"/>
  <cols>
    <col min="1" max="1" width="37.54296875" customWidth="1"/>
    <col min="2" max="5" width="11.7265625" customWidth="1"/>
    <col min="6" max="6" width="17.7265625" customWidth="1"/>
    <col min="7" max="7" width="8.1796875" customWidth="1"/>
    <col min="8" max="8" width="11.81640625" customWidth="1"/>
  </cols>
  <sheetData>
    <row r="1" spans="1:9" ht="15.5" x14ac:dyDescent="0.35">
      <c r="A1" s="31" t="s">
        <v>40</v>
      </c>
      <c r="B1" s="1"/>
      <c r="C1" s="1"/>
      <c r="D1" s="1"/>
      <c r="E1" s="1"/>
      <c r="F1" s="1"/>
    </row>
    <row r="2" spans="1:9" x14ac:dyDescent="0.35">
      <c r="A2" s="1"/>
      <c r="B2" s="1"/>
      <c r="C2" s="1"/>
      <c r="D2" s="1"/>
      <c r="E2" s="1"/>
      <c r="F2" s="6"/>
    </row>
    <row r="3" spans="1:9" ht="54.5" x14ac:dyDescent="0.35">
      <c r="A3" s="29" t="s">
        <v>89</v>
      </c>
      <c r="B3" s="64" t="s">
        <v>90</v>
      </c>
      <c r="C3" s="64" t="s">
        <v>28</v>
      </c>
      <c r="D3" s="64" t="s">
        <v>29</v>
      </c>
      <c r="E3" s="64" t="s">
        <v>30</v>
      </c>
      <c r="F3" s="64" t="s">
        <v>91</v>
      </c>
      <c r="G3" s="1"/>
      <c r="H3" s="1"/>
      <c r="I3" s="1"/>
    </row>
    <row r="4" spans="1:9" x14ac:dyDescent="0.35">
      <c r="A4" s="40" t="s">
        <v>31</v>
      </c>
      <c r="B4" s="9"/>
      <c r="C4" s="9"/>
      <c r="D4" s="9"/>
      <c r="E4" s="9"/>
      <c r="F4" s="10"/>
      <c r="G4" s="1"/>
      <c r="H4" s="133" t="s">
        <v>0</v>
      </c>
      <c r="I4" s="133"/>
    </row>
    <row r="5" spans="1:9" ht="15.5" x14ac:dyDescent="0.35">
      <c r="A5" s="32" t="s">
        <v>92</v>
      </c>
      <c r="B5" s="9">
        <v>12</v>
      </c>
      <c r="C5" s="9">
        <v>117</v>
      </c>
      <c r="D5" s="9">
        <f>B5*C5</f>
        <v>1404</v>
      </c>
      <c r="E5" s="9">
        <f>D5*0.05</f>
        <v>70.2</v>
      </c>
      <c r="F5" s="10">
        <f>(D5*$I$6)+(E5*$I$5)</f>
        <v>81688.932000000001</v>
      </c>
      <c r="G5" s="1"/>
      <c r="H5" s="12" t="s">
        <v>1</v>
      </c>
      <c r="I5" s="27">
        <f>'PSEU Counts'!$E$9</f>
        <v>73.459999999999994</v>
      </c>
    </row>
    <row r="6" spans="1:9" x14ac:dyDescent="0.35">
      <c r="A6" s="32" t="s">
        <v>32</v>
      </c>
      <c r="B6" s="9">
        <v>0.67</v>
      </c>
      <c r="C6" s="9">
        <f>'PSEU Counts'!D64</f>
        <v>208</v>
      </c>
      <c r="D6" s="9">
        <f t="shared" ref="D6:D13" si="0">B6*C6</f>
        <v>139.36000000000001</v>
      </c>
      <c r="E6" s="9">
        <f t="shared" ref="E6:E13" si="1">D6*0.05</f>
        <v>6.9680000000000009</v>
      </c>
      <c r="F6" s="10">
        <f t="shared" ref="F6:F13" si="2">(D6*$I$6)+(E6*$I$5)</f>
        <v>8108.3828800000001</v>
      </c>
      <c r="G6" s="1"/>
      <c r="H6" s="12" t="s">
        <v>5</v>
      </c>
      <c r="I6" s="27">
        <f>'PSEU Counts'!$E$8</f>
        <v>54.51</v>
      </c>
    </row>
    <row r="7" spans="1:9" x14ac:dyDescent="0.35">
      <c r="A7" s="30" t="s">
        <v>33</v>
      </c>
      <c r="B7" s="9"/>
      <c r="C7" s="9"/>
      <c r="D7" s="9"/>
      <c r="E7" s="9"/>
      <c r="F7" s="10"/>
      <c r="G7" s="11"/>
      <c r="H7" s="11"/>
      <c r="I7" s="1"/>
    </row>
    <row r="8" spans="1:9" ht="19.5" customHeight="1" x14ac:dyDescent="0.35">
      <c r="A8" s="32" t="s">
        <v>34</v>
      </c>
      <c r="B8" s="29">
        <v>2</v>
      </c>
      <c r="C8" s="29">
        <f>'PSEU Counts'!F64</f>
        <v>74</v>
      </c>
      <c r="D8" s="29">
        <f t="shared" si="0"/>
        <v>148</v>
      </c>
      <c r="E8" s="29">
        <f t="shared" si="1"/>
        <v>7.4</v>
      </c>
      <c r="F8" s="77">
        <f t="shared" si="2"/>
        <v>8611.0839999999989</v>
      </c>
      <c r="G8" s="11"/>
      <c r="H8" s="11"/>
      <c r="I8" s="78"/>
    </row>
    <row r="9" spans="1:9" x14ac:dyDescent="0.35">
      <c r="A9" s="32" t="s">
        <v>35</v>
      </c>
      <c r="B9" s="9">
        <v>1</v>
      </c>
      <c r="C9" s="9">
        <f>'PSEU Counts'!G64</f>
        <v>134</v>
      </c>
      <c r="D9" s="9">
        <f t="shared" si="0"/>
        <v>134</v>
      </c>
      <c r="E9" s="9">
        <f t="shared" si="1"/>
        <v>6.7</v>
      </c>
      <c r="F9" s="10">
        <f t="shared" si="2"/>
        <v>7796.5219999999999</v>
      </c>
      <c r="G9" s="13"/>
      <c r="H9" s="13"/>
      <c r="I9" s="78"/>
    </row>
    <row r="10" spans="1:9" x14ac:dyDescent="0.35">
      <c r="A10" s="30" t="s">
        <v>36</v>
      </c>
      <c r="B10" s="9">
        <v>0.5</v>
      </c>
      <c r="C10" s="9">
        <f>'PSEU Counts'!AB64</f>
        <v>4324</v>
      </c>
      <c r="D10" s="9">
        <f t="shared" si="0"/>
        <v>2162</v>
      </c>
      <c r="E10" s="9">
        <f t="shared" si="1"/>
        <v>108.10000000000001</v>
      </c>
      <c r="F10" s="10">
        <f t="shared" si="2"/>
        <v>125791.64599999999</v>
      </c>
      <c r="G10" s="1"/>
      <c r="H10" s="1"/>
      <c r="I10" s="1"/>
    </row>
    <row r="11" spans="1:9" x14ac:dyDescent="0.35">
      <c r="A11" s="30" t="s">
        <v>37</v>
      </c>
      <c r="B11" s="9">
        <v>1</v>
      </c>
      <c r="C11" s="120">
        <f>'PSEU Counts'!AC64</f>
        <v>8.7312000000000012</v>
      </c>
      <c r="D11" s="120">
        <f t="shared" si="0"/>
        <v>8.7312000000000012</v>
      </c>
      <c r="E11" s="121">
        <f t="shared" si="1"/>
        <v>0.43656000000000006</v>
      </c>
      <c r="F11" s="10">
        <f t="shared" si="2"/>
        <v>508.00740960000002</v>
      </c>
      <c r="G11" s="1"/>
      <c r="H11" s="1"/>
      <c r="I11" s="1"/>
    </row>
    <row r="12" spans="1:9" x14ac:dyDescent="0.35">
      <c r="A12" s="30" t="s">
        <v>38</v>
      </c>
      <c r="B12" s="9">
        <v>0.5</v>
      </c>
      <c r="C12" s="9">
        <f>'Table 6.1a'!H20*'Table 6.1a'!E20</f>
        <v>18</v>
      </c>
      <c r="D12" s="9">
        <f t="shared" si="0"/>
        <v>9</v>
      </c>
      <c r="E12" s="9">
        <f t="shared" si="1"/>
        <v>0.45</v>
      </c>
      <c r="F12" s="10">
        <f t="shared" si="2"/>
        <v>523.64699999999993</v>
      </c>
      <c r="G12" s="1"/>
      <c r="H12" s="1"/>
      <c r="I12" s="1"/>
    </row>
    <row r="13" spans="1:9" x14ac:dyDescent="0.35">
      <c r="A13" s="30" t="s">
        <v>39</v>
      </c>
      <c r="B13" s="9">
        <v>0.33</v>
      </c>
      <c r="C13" s="9">
        <v>0</v>
      </c>
      <c r="D13" s="9">
        <f t="shared" si="0"/>
        <v>0</v>
      </c>
      <c r="E13" s="9">
        <f t="shared" si="1"/>
        <v>0</v>
      </c>
      <c r="F13" s="10">
        <f t="shared" si="2"/>
        <v>0</v>
      </c>
      <c r="G13" s="1"/>
      <c r="H13" s="1"/>
      <c r="I13" s="1"/>
    </row>
    <row r="14" spans="1:9" ht="15" customHeight="1" x14ac:dyDescent="0.35">
      <c r="A14" s="41" t="s">
        <v>97</v>
      </c>
      <c r="B14" s="141"/>
      <c r="C14" s="143"/>
      <c r="D14" s="92">
        <f>ROUND(SUM(D5:D13),-1)</f>
        <v>4010</v>
      </c>
      <c r="E14" s="122">
        <f>SUM(E4:E13)</f>
        <v>200.25456000000003</v>
      </c>
      <c r="F14" s="67">
        <f>ROUND(SUM(F4:F13), -3)</f>
        <v>233000</v>
      </c>
      <c r="G14" s="1"/>
      <c r="H14" s="1"/>
      <c r="I14" s="1"/>
    </row>
    <row r="15" spans="1:9" ht="9.75" customHeight="1" x14ac:dyDescent="0.35">
      <c r="A15" s="149"/>
      <c r="B15" s="149"/>
      <c r="C15" s="149"/>
      <c r="D15" s="149"/>
      <c r="E15" s="149"/>
      <c r="F15" s="149"/>
      <c r="G15" s="1"/>
      <c r="H15" s="1"/>
      <c r="I15" s="1"/>
    </row>
    <row r="16" spans="1:9" ht="18.75" customHeight="1" x14ac:dyDescent="0.35">
      <c r="A16" s="148" t="s">
        <v>4</v>
      </c>
      <c r="B16" s="148"/>
      <c r="C16" s="148"/>
      <c r="D16" s="148"/>
      <c r="E16" s="148"/>
      <c r="F16" s="148"/>
      <c r="G16" s="1"/>
      <c r="H16" s="1"/>
      <c r="I16" s="1"/>
    </row>
    <row r="17" spans="1:9" ht="17.5" customHeight="1" x14ac:dyDescent="0.35">
      <c r="A17" s="131" t="s">
        <v>93</v>
      </c>
      <c r="B17" s="131"/>
      <c r="C17" s="131"/>
      <c r="D17" s="131"/>
      <c r="E17" s="131"/>
      <c r="F17" s="131"/>
      <c r="G17" s="1"/>
      <c r="H17" s="1"/>
      <c r="I17" s="1"/>
    </row>
    <row r="18" spans="1:9" ht="20.5" customHeight="1" x14ac:dyDescent="0.35">
      <c r="A18" s="131" t="s">
        <v>94</v>
      </c>
      <c r="B18" s="131"/>
      <c r="C18" s="131"/>
      <c r="D18" s="131"/>
      <c r="E18" s="131"/>
      <c r="F18" s="131"/>
      <c r="G18" s="1"/>
      <c r="H18" s="1"/>
      <c r="I18" s="1"/>
    </row>
    <row r="19" spans="1:9" ht="59.25" customHeight="1" x14ac:dyDescent="0.35">
      <c r="A19" s="147" t="s">
        <v>201</v>
      </c>
      <c r="B19" s="145"/>
      <c r="C19" s="145"/>
      <c r="D19" s="145"/>
      <c r="E19" s="145"/>
      <c r="F19" s="145"/>
      <c r="G19" s="1"/>
      <c r="H19" s="1"/>
      <c r="I19" s="1"/>
    </row>
    <row r="20" spans="1:9" ht="29.5" customHeight="1" x14ac:dyDescent="0.35">
      <c r="A20" s="147" t="s">
        <v>95</v>
      </c>
      <c r="B20" s="145"/>
      <c r="C20" s="145"/>
      <c r="D20" s="145"/>
      <c r="E20" s="145"/>
      <c r="F20" s="145"/>
      <c r="G20" s="1"/>
      <c r="H20" s="1"/>
      <c r="I20" s="1"/>
    </row>
    <row r="21" spans="1:9" x14ac:dyDescent="0.35">
      <c r="A21" s="144" t="s">
        <v>96</v>
      </c>
      <c r="B21" s="145"/>
      <c r="C21" s="145"/>
      <c r="D21" s="145"/>
      <c r="E21" s="145"/>
      <c r="F21" s="145"/>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68"/>
      <c r="C25" s="68"/>
      <c r="D25" s="1"/>
      <c r="E25" s="1"/>
      <c r="F25" s="1"/>
      <c r="G25" s="1"/>
      <c r="H25" s="1"/>
      <c r="I25" s="1"/>
    </row>
    <row r="26" spans="1:9" x14ac:dyDescent="0.35">
      <c r="A26" s="1"/>
      <c r="B26" s="68"/>
      <c r="C26" s="68"/>
      <c r="D26" s="1"/>
      <c r="E26" s="1"/>
      <c r="F26" s="1"/>
      <c r="G26" s="1"/>
      <c r="H26" s="1"/>
      <c r="I26" s="1"/>
    </row>
    <row r="27" spans="1:9" x14ac:dyDescent="0.35">
      <c r="A27" s="1"/>
      <c r="B27" s="68"/>
      <c r="C27" s="68"/>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sheetData>
  <mergeCells count="9">
    <mergeCell ref="H4:I4"/>
    <mergeCell ref="A21:F21"/>
    <mergeCell ref="A17:F17"/>
    <mergeCell ref="A18:F18"/>
    <mergeCell ref="A20:F20"/>
    <mergeCell ref="A19:F19"/>
    <mergeCell ref="A16:F16"/>
    <mergeCell ref="A15:F15"/>
    <mergeCell ref="B14:C14"/>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C5DBD-0E70-438F-B569-000660B00323}">
  <dimension ref="A1:I30"/>
  <sheetViews>
    <sheetView topLeftCell="A4" workbookViewId="0">
      <selection activeCell="A3" sqref="A3:F21"/>
    </sheetView>
  </sheetViews>
  <sheetFormatPr defaultRowHeight="14.5" x14ac:dyDescent="0.35"/>
  <cols>
    <col min="1" max="1" width="37.54296875" customWidth="1"/>
    <col min="2" max="5" width="11.7265625" customWidth="1"/>
    <col min="6" max="6" width="17.7265625" customWidth="1"/>
    <col min="7" max="7" width="8.1796875" customWidth="1"/>
    <col min="8" max="8" width="11.81640625" customWidth="1"/>
  </cols>
  <sheetData>
    <row r="1" spans="1:9" ht="15.5" x14ac:dyDescent="0.35">
      <c r="A1" s="31" t="s">
        <v>41</v>
      </c>
      <c r="B1" s="1"/>
      <c r="C1" s="1"/>
      <c r="D1" s="1"/>
      <c r="E1" s="1"/>
      <c r="F1" s="1"/>
    </row>
    <row r="2" spans="1:9" x14ac:dyDescent="0.35">
      <c r="A2" s="1"/>
      <c r="B2" s="1"/>
      <c r="C2" s="1"/>
      <c r="D2" s="1"/>
      <c r="E2" s="1"/>
      <c r="F2" s="6"/>
    </row>
    <row r="3" spans="1:9" ht="54.5" x14ac:dyDescent="0.35">
      <c r="A3" s="29" t="s">
        <v>89</v>
      </c>
      <c r="B3" s="64" t="s">
        <v>90</v>
      </c>
      <c r="C3" s="64" t="s">
        <v>28</v>
      </c>
      <c r="D3" s="64" t="s">
        <v>29</v>
      </c>
      <c r="E3" s="64" t="s">
        <v>30</v>
      </c>
      <c r="F3" s="64" t="s">
        <v>91</v>
      </c>
      <c r="G3" s="1"/>
      <c r="H3" s="1"/>
      <c r="I3" s="1"/>
    </row>
    <row r="4" spans="1:9" x14ac:dyDescent="0.35">
      <c r="A4" s="40" t="s">
        <v>31</v>
      </c>
      <c r="B4" s="9"/>
      <c r="C4" s="9"/>
      <c r="D4" s="9"/>
      <c r="E4" s="9"/>
      <c r="F4" s="10"/>
      <c r="G4" s="1"/>
      <c r="H4" s="133" t="s">
        <v>0</v>
      </c>
      <c r="I4" s="133"/>
    </row>
    <row r="5" spans="1:9" ht="15.5" x14ac:dyDescent="0.35">
      <c r="A5" s="32" t="s">
        <v>92</v>
      </c>
      <c r="B5" s="9">
        <v>12</v>
      </c>
      <c r="C5" s="9">
        <v>117</v>
      </c>
      <c r="D5" s="9">
        <f>B5*C5</f>
        <v>1404</v>
      </c>
      <c r="E5" s="9">
        <f>D5*0.05</f>
        <v>70.2</v>
      </c>
      <c r="F5" s="10">
        <f>(D5*$I$6)+(E5*$I$5)</f>
        <v>81688.932000000001</v>
      </c>
      <c r="G5" s="1"/>
      <c r="H5" s="12" t="s">
        <v>1</v>
      </c>
      <c r="I5" s="27">
        <f>'PSEU Counts'!$E$9</f>
        <v>73.459999999999994</v>
      </c>
    </row>
    <row r="6" spans="1:9" x14ac:dyDescent="0.35">
      <c r="A6" s="32" t="s">
        <v>32</v>
      </c>
      <c r="B6" s="9">
        <v>0.67</v>
      </c>
      <c r="C6" s="9">
        <f>'PSEU Counts'!D65</f>
        <v>208</v>
      </c>
      <c r="D6" s="9">
        <f t="shared" ref="D6:D13" si="0">B6*C6</f>
        <v>139.36000000000001</v>
      </c>
      <c r="E6" s="9">
        <f t="shared" ref="E6:E13" si="1">D6*0.05</f>
        <v>6.9680000000000009</v>
      </c>
      <c r="F6" s="10">
        <f t="shared" ref="F6:F13" si="2">(D6*$I$6)+(E6*$I$5)</f>
        <v>8108.3828800000001</v>
      </c>
      <c r="G6" s="1"/>
      <c r="H6" s="12" t="s">
        <v>5</v>
      </c>
      <c r="I6" s="27">
        <f>'PSEU Counts'!$E$8</f>
        <v>54.51</v>
      </c>
    </row>
    <row r="7" spans="1:9" x14ac:dyDescent="0.35">
      <c r="A7" s="30" t="s">
        <v>33</v>
      </c>
      <c r="B7" s="9"/>
      <c r="C7" s="9"/>
      <c r="D7" s="9"/>
      <c r="E7" s="9"/>
      <c r="F7" s="10"/>
      <c r="G7" s="11"/>
      <c r="H7" s="11"/>
      <c r="I7" s="1"/>
    </row>
    <row r="8" spans="1:9" ht="19.5" customHeight="1" x14ac:dyDescent="0.35">
      <c r="A8" s="32" t="s">
        <v>34</v>
      </c>
      <c r="B8" s="29">
        <v>2</v>
      </c>
      <c r="C8" s="29">
        <f>'PSEU Counts'!F65</f>
        <v>74</v>
      </c>
      <c r="D8" s="29">
        <f t="shared" si="0"/>
        <v>148</v>
      </c>
      <c r="E8" s="29">
        <f t="shared" si="1"/>
        <v>7.4</v>
      </c>
      <c r="F8" s="77">
        <f t="shared" si="2"/>
        <v>8611.0839999999989</v>
      </c>
      <c r="G8" s="11"/>
      <c r="H8" s="11"/>
      <c r="I8" s="78"/>
    </row>
    <row r="9" spans="1:9" x14ac:dyDescent="0.35">
      <c r="A9" s="32" t="s">
        <v>35</v>
      </c>
      <c r="B9" s="9">
        <v>1</v>
      </c>
      <c r="C9" s="9">
        <f>'PSEU Counts'!G65</f>
        <v>134</v>
      </c>
      <c r="D9" s="9">
        <f t="shared" si="0"/>
        <v>134</v>
      </c>
      <c r="E9" s="9">
        <f t="shared" si="1"/>
        <v>6.7</v>
      </c>
      <c r="F9" s="10">
        <f t="shared" si="2"/>
        <v>7796.5219999999999</v>
      </c>
      <c r="G9" s="13"/>
      <c r="H9" s="13"/>
      <c r="I9" s="78"/>
    </row>
    <row r="10" spans="1:9" x14ac:dyDescent="0.35">
      <c r="A10" s="30" t="s">
        <v>36</v>
      </c>
      <c r="B10" s="9">
        <v>0.5</v>
      </c>
      <c r="C10" s="9">
        <f>'PSEU Counts'!AB65</f>
        <v>4324</v>
      </c>
      <c r="D10" s="9">
        <f t="shared" si="0"/>
        <v>2162</v>
      </c>
      <c r="E10" s="9">
        <f t="shared" si="1"/>
        <v>108.10000000000001</v>
      </c>
      <c r="F10" s="10">
        <f t="shared" si="2"/>
        <v>125791.64599999999</v>
      </c>
      <c r="G10" s="1"/>
      <c r="H10" s="1"/>
      <c r="I10" s="1"/>
    </row>
    <row r="11" spans="1:9" x14ac:dyDescent="0.35">
      <c r="A11" s="30" t="s">
        <v>37</v>
      </c>
      <c r="B11" s="9">
        <v>1</v>
      </c>
      <c r="C11" s="120">
        <f>'PSEU Counts'!AC65</f>
        <v>8.8144000000000009</v>
      </c>
      <c r="D11" s="120">
        <f t="shared" si="0"/>
        <v>8.8144000000000009</v>
      </c>
      <c r="E11" s="121">
        <f t="shared" si="1"/>
        <v>0.44072000000000006</v>
      </c>
      <c r="F11" s="10">
        <f t="shared" si="2"/>
        <v>512.84823520000009</v>
      </c>
      <c r="G11" s="1"/>
      <c r="H11" s="1"/>
      <c r="I11" s="1"/>
    </row>
    <row r="12" spans="1:9" x14ac:dyDescent="0.35">
      <c r="A12" s="30" t="s">
        <v>38</v>
      </c>
      <c r="B12" s="9">
        <v>0.5</v>
      </c>
      <c r="C12" s="9">
        <f>'Table 6.1b'!H20*'Table 6.1b'!E20</f>
        <v>18</v>
      </c>
      <c r="D12" s="9">
        <f t="shared" si="0"/>
        <v>9</v>
      </c>
      <c r="E12" s="9">
        <f t="shared" si="1"/>
        <v>0.45</v>
      </c>
      <c r="F12" s="10">
        <f t="shared" si="2"/>
        <v>523.64699999999993</v>
      </c>
      <c r="G12" s="1"/>
      <c r="H12" s="1"/>
      <c r="I12" s="1"/>
    </row>
    <row r="13" spans="1:9" x14ac:dyDescent="0.35">
      <c r="A13" s="30" t="s">
        <v>39</v>
      </c>
      <c r="B13" s="9">
        <v>0.33</v>
      </c>
      <c r="C13" s="9">
        <v>0</v>
      </c>
      <c r="D13" s="9">
        <f t="shared" si="0"/>
        <v>0</v>
      </c>
      <c r="E13" s="9">
        <f t="shared" si="1"/>
        <v>0</v>
      </c>
      <c r="F13" s="10">
        <f t="shared" si="2"/>
        <v>0</v>
      </c>
      <c r="G13" s="1"/>
      <c r="H13" s="1"/>
      <c r="I13" s="1"/>
    </row>
    <row r="14" spans="1:9" ht="15" customHeight="1" x14ac:dyDescent="0.35">
      <c r="A14" s="41" t="s">
        <v>6</v>
      </c>
      <c r="B14" s="150"/>
      <c r="C14" s="151"/>
      <c r="D14" s="92">
        <f>ROUND(SUM(D4:D13),-1)</f>
        <v>4010</v>
      </c>
      <c r="E14" s="92">
        <f>SUM(E5:E13)</f>
        <v>200.25872000000001</v>
      </c>
      <c r="F14" s="67">
        <f>ROUND(SUM(F4:F13), -3)</f>
        <v>233000</v>
      </c>
      <c r="G14" s="1"/>
      <c r="H14" s="1"/>
      <c r="I14" s="1"/>
    </row>
    <row r="15" spans="1:9" ht="9.75" customHeight="1" x14ac:dyDescent="0.35">
      <c r="A15" s="149"/>
      <c r="B15" s="149"/>
      <c r="C15" s="149"/>
      <c r="D15" s="149"/>
      <c r="E15" s="149"/>
      <c r="F15" s="149"/>
      <c r="G15" s="1"/>
      <c r="H15" s="1"/>
      <c r="I15" s="1"/>
    </row>
    <row r="16" spans="1:9" ht="18.75" customHeight="1" x14ac:dyDescent="0.35">
      <c r="A16" s="148" t="s">
        <v>4</v>
      </c>
      <c r="B16" s="148"/>
      <c r="C16" s="148"/>
      <c r="D16" s="148"/>
      <c r="E16" s="148"/>
      <c r="F16" s="148"/>
      <c r="G16" s="1"/>
      <c r="H16" s="1"/>
      <c r="I16" s="1"/>
    </row>
    <row r="17" spans="1:9" ht="20.5" customHeight="1" x14ac:dyDescent="0.35">
      <c r="A17" s="131" t="s">
        <v>93</v>
      </c>
      <c r="B17" s="131"/>
      <c r="C17" s="131"/>
      <c r="D17" s="131"/>
      <c r="E17" s="131"/>
      <c r="F17" s="131"/>
      <c r="G17" s="1"/>
      <c r="H17" s="1"/>
      <c r="I17" s="1"/>
    </row>
    <row r="18" spans="1:9" ht="16.149999999999999" customHeight="1" x14ac:dyDescent="0.35">
      <c r="A18" s="131" t="s">
        <v>94</v>
      </c>
      <c r="B18" s="131"/>
      <c r="C18" s="131"/>
      <c r="D18" s="131"/>
      <c r="E18" s="131"/>
      <c r="F18" s="131"/>
      <c r="G18" s="1"/>
      <c r="H18" s="1"/>
      <c r="I18" s="1"/>
    </row>
    <row r="19" spans="1:9" ht="57.75" customHeight="1" x14ac:dyDescent="0.35">
      <c r="A19" s="147" t="s">
        <v>201</v>
      </c>
      <c r="B19" s="145"/>
      <c r="C19" s="145"/>
      <c r="D19" s="145"/>
      <c r="E19" s="145"/>
      <c r="F19" s="145"/>
      <c r="G19" s="1"/>
      <c r="H19" s="1"/>
      <c r="I19" s="1"/>
    </row>
    <row r="20" spans="1:9" ht="31.9" customHeight="1" x14ac:dyDescent="0.35">
      <c r="A20" s="147" t="s">
        <v>95</v>
      </c>
      <c r="B20" s="145"/>
      <c r="C20" s="145"/>
      <c r="D20" s="145"/>
      <c r="E20" s="145"/>
      <c r="F20" s="145"/>
      <c r="G20" s="1"/>
      <c r="H20" s="1"/>
      <c r="I20" s="1"/>
    </row>
    <row r="21" spans="1:9" ht="19.149999999999999" customHeight="1" x14ac:dyDescent="0.35">
      <c r="A21" s="144" t="s">
        <v>96</v>
      </c>
      <c r="B21" s="145"/>
      <c r="C21" s="145"/>
      <c r="D21" s="145"/>
      <c r="E21" s="145"/>
      <c r="F21" s="145"/>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68"/>
      <c r="C24" s="68"/>
      <c r="D24" s="1"/>
      <c r="E24" s="1"/>
      <c r="F24" s="1"/>
      <c r="G24" s="1"/>
      <c r="H24" s="1"/>
      <c r="I24" s="1"/>
    </row>
    <row r="25" spans="1:9" x14ac:dyDescent="0.35">
      <c r="A25" s="1"/>
      <c r="B25" s="68"/>
      <c r="C25" s="68"/>
      <c r="D25" s="1"/>
      <c r="E25" s="1"/>
      <c r="F25" s="1"/>
      <c r="G25" s="1"/>
      <c r="H25" s="1"/>
      <c r="I25" s="1"/>
    </row>
    <row r="26" spans="1:9" x14ac:dyDescent="0.35">
      <c r="A26" s="1"/>
      <c r="B26" s="68"/>
      <c r="C26" s="68"/>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sheetData>
  <mergeCells count="9">
    <mergeCell ref="A21:F21"/>
    <mergeCell ref="A20:F20"/>
    <mergeCell ref="H4:I4"/>
    <mergeCell ref="A15:F15"/>
    <mergeCell ref="A16:F16"/>
    <mergeCell ref="A17:F17"/>
    <mergeCell ref="A18:F18"/>
    <mergeCell ref="A19:F19"/>
    <mergeCell ref="B14:C14"/>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51027-BCD9-44EE-8E8D-EAE8476B7CC8}">
  <dimension ref="A1:I30"/>
  <sheetViews>
    <sheetView topLeftCell="A4" workbookViewId="0">
      <selection activeCell="A3" sqref="A3:F21"/>
    </sheetView>
  </sheetViews>
  <sheetFormatPr defaultRowHeight="14.5" x14ac:dyDescent="0.35"/>
  <cols>
    <col min="1" max="1" width="37.54296875" customWidth="1"/>
    <col min="2" max="5" width="11.7265625" customWidth="1"/>
    <col min="6" max="6" width="17.7265625" customWidth="1"/>
    <col min="7" max="7" width="8.1796875" customWidth="1"/>
    <col min="8" max="8" width="11.81640625" customWidth="1"/>
  </cols>
  <sheetData>
    <row r="1" spans="1:9" ht="15.5" x14ac:dyDescent="0.35">
      <c r="A1" s="31" t="s">
        <v>42</v>
      </c>
      <c r="B1" s="1"/>
      <c r="C1" s="1"/>
      <c r="D1" s="1"/>
      <c r="E1" s="1"/>
      <c r="F1" s="1"/>
    </row>
    <row r="2" spans="1:9" x14ac:dyDescent="0.35">
      <c r="A2" s="1"/>
      <c r="B2" s="1"/>
      <c r="C2" s="1"/>
      <c r="D2" s="1"/>
      <c r="E2" s="1"/>
      <c r="F2" s="6"/>
    </row>
    <row r="3" spans="1:9" ht="54.5" x14ac:dyDescent="0.35">
      <c r="A3" s="29" t="s">
        <v>89</v>
      </c>
      <c r="B3" s="64" t="s">
        <v>90</v>
      </c>
      <c r="C3" s="64" t="s">
        <v>28</v>
      </c>
      <c r="D3" s="64" t="s">
        <v>29</v>
      </c>
      <c r="E3" s="64" t="s">
        <v>30</v>
      </c>
      <c r="F3" s="64" t="s">
        <v>91</v>
      </c>
      <c r="G3" s="1"/>
      <c r="H3" s="1"/>
      <c r="I3" s="1"/>
    </row>
    <row r="4" spans="1:9" x14ac:dyDescent="0.35">
      <c r="A4" s="40" t="s">
        <v>31</v>
      </c>
      <c r="B4" s="9"/>
      <c r="C4" s="9"/>
      <c r="D4" s="9"/>
      <c r="E4" s="9"/>
      <c r="F4" s="10"/>
      <c r="G4" s="1"/>
      <c r="H4" s="133" t="s">
        <v>0</v>
      </c>
      <c r="I4" s="133"/>
    </row>
    <row r="5" spans="1:9" ht="15.5" x14ac:dyDescent="0.35">
      <c r="A5" s="32" t="s">
        <v>92</v>
      </c>
      <c r="B5" s="9">
        <v>12</v>
      </c>
      <c r="C5" s="9">
        <v>117</v>
      </c>
      <c r="D5" s="9">
        <f>B5*C5</f>
        <v>1404</v>
      </c>
      <c r="E5" s="9">
        <f>D5*0.05</f>
        <v>70.2</v>
      </c>
      <c r="F5" s="10">
        <f>(D5*$I$6)+(E5*$I$5)</f>
        <v>81688.932000000001</v>
      </c>
      <c r="G5" s="1"/>
      <c r="H5" s="12" t="s">
        <v>1</v>
      </c>
      <c r="I5" s="27">
        <f>'PSEU Counts'!$E$9</f>
        <v>73.459999999999994</v>
      </c>
    </row>
    <row r="6" spans="1:9" x14ac:dyDescent="0.35">
      <c r="A6" s="32" t="s">
        <v>32</v>
      </c>
      <c r="B6" s="9">
        <v>0.67</v>
      </c>
      <c r="C6" s="9">
        <f>'PSEU Counts'!D66</f>
        <v>208</v>
      </c>
      <c r="D6" s="9">
        <f t="shared" ref="D6:D13" si="0">B6*C6</f>
        <v>139.36000000000001</v>
      </c>
      <c r="E6" s="9">
        <f t="shared" ref="E6:E13" si="1">D6*0.05</f>
        <v>6.9680000000000009</v>
      </c>
      <c r="F6" s="10">
        <f t="shared" ref="F6:F13" si="2">(D6*$I$6)+(E6*$I$5)</f>
        <v>8108.3828800000001</v>
      </c>
      <c r="G6" s="1"/>
      <c r="H6" s="12" t="s">
        <v>5</v>
      </c>
      <c r="I6" s="27">
        <f>'PSEU Counts'!$E$8</f>
        <v>54.51</v>
      </c>
    </row>
    <row r="7" spans="1:9" x14ac:dyDescent="0.35">
      <c r="A7" s="30" t="s">
        <v>33</v>
      </c>
      <c r="B7" s="9"/>
      <c r="C7" s="9"/>
      <c r="D7" s="9"/>
      <c r="E7" s="9"/>
      <c r="F7" s="10"/>
      <c r="G7" s="11"/>
      <c r="H7" s="11"/>
      <c r="I7" s="1"/>
    </row>
    <row r="8" spans="1:9" ht="19.5" customHeight="1" x14ac:dyDescent="0.35">
      <c r="A8" s="32" t="s">
        <v>34</v>
      </c>
      <c r="B8" s="29">
        <v>2</v>
      </c>
      <c r="C8" s="29">
        <f>'PSEU Counts'!F66</f>
        <v>74</v>
      </c>
      <c r="D8" s="29">
        <f t="shared" si="0"/>
        <v>148</v>
      </c>
      <c r="E8" s="29">
        <f t="shared" si="1"/>
        <v>7.4</v>
      </c>
      <c r="F8" s="77">
        <f t="shared" si="2"/>
        <v>8611.0839999999989</v>
      </c>
      <c r="G8" s="11"/>
      <c r="H8" s="11"/>
      <c r="I8" s="78"/>
    </row>
    <row r="9" spans="1:9" x14ac:dyDescent="0.35">
      <c r="A9" s="32" t="s">
        <v>35</v>
      </c>
      <c r="B9" s="9">
        <v>1</v>
      </c>
      <c r="C9" s="9">
        <f>'PSEU Counts'!G66</f>
        <v>134</v>
      </c>
      <c r="D9" s="9">
        <f t="shared" si="0"/>
        <v>134</v>
      </c>
      <c r="E9" s="9">
        <f t="shared" si="1"/>
        <v>6.7</v>
      </c>
      <c r="F9" s="10">
        <f t="shared" si="2"/>
        <v>7796.5219999999999</v>
      </c>
      <c r="G9" s="13"/>
      <c r="H9" s="13"/>
      <c r="I9" s="78"/>
    </row>
    <row r="10" spans="1:9" x14ac:dyDescent="0.35">
      <c r="A10" s="30" t="s">
        <v>36</v>
      </c>
      <c r="B10" s="9">
        <v>0.5</v>
      </c>
      <c r="C10" s="9">
        <f>'PSEU Counts'!AB66</f>
        <v>4324</v>
      </c>
      <c r="D10" s="9">
        <f t="shared" si="0"/>
        <v>2162</v>
      </c>
      <c r="E10" s="9">
        <f t="shared" si="1"/>
        <v>108.10000000000001</v>
      </c>
      <c r="F10" s="10">
        <f t="shared" si="2"/>
        <v>125791.64599999999</v>
      </c>
      <c r="G10" s="1"/>
      <c r="H10" s="1"/>
      <c r="I10" s="1"/>
    </row>
    <row r="11" spans="1:9" x14ac:dyDescent="0.35">
      <c r="A11" s="30" t="s">
        <v>37</v>
      </c>
      <c r="B11" s="9">
        <v>1</v>
      </c>
      <c r="C11" s="120">
        <f>'PSEU Counts'!AC66</f>
        <v>8.8976000000000006</v>
      </c>
      <c r="D11" s="120">
        <f t="shared" si="0"/>
        <v>8.8976000000000006</v>
      </c>
      <c r="E11" s="121">
        <f t="shared" si="1"/>
        <v>0.44488000000000005</v>
      </c>
      <c r="F11" s="10">
        <f t="shared" si="2"/>
        <v>517.68906079999999</v>
      </c>
      <c r="G11" s="1"/>
      <c r="H11" s="1"/>
      <c r="I11" s="1"/>
    </row>
    <row r="12" spans="1:9" x14ac:dyDescent="0.35">
      <c r="A12" s="30" t="s">
        <v>38</v>
      </c>
      <c r="B12" s="9">
        <v>0.5</v>
      </c>
      <c r="C12" s="9">
        <f>'Table 6.1c'!H20*'Table 6.1c'!E20</f>
        <v>18</v>
      </c>
      <c r="D12" s="9">
        <f t="shared" si="0"/>
        <v>9</v>
      </c>
      <c r="E12" s="9">
        <f t="shared" si="1"/>
        <v>0.45</v>
      </c>
      <c r="F12" s="10">
        <f t="shared" si="2"/>
        <v>523.64699999999993</v>
      </c>
      <c r="G12" s="1"/>
      <c r="H12" s="1"/>
      <c r="I12" s="1"/>
    </row>
    <row r="13" spans="1:9" x14ac:dyDescent="0.35">
      <c r="A13" s="30" t="s">
        <v>39</v>
      </c>
      <c r="B13" s="9">
        <v>0.33</v>
      </c>
      <c r="C13" s="9">
        <v>0</v>
      </c>
      <c r="D13" s="9">
        <f t="shared" si="0"/>
        <v>0</v>
      </c>
      <c r="E13" s="9">
        <f t="shared" si="1"/>
        <v>0</v>
      </c>
      <c r="F13" s="10">
        <f t="shared" si="2"/>
        <v>0</v>
      </c>
      <c r="G13" s="1"/>
      <c r="H13" s="1"/>
      <c r="I13" s="1"/>
    </row>
    <row r="14" spans="1:9" ht="15" customHeight="1" x14ac:dyDescent="0.35">
      <c r="A14" s="41" t="s">
        <v>6</v>
      </c>
      <c r="B14" s="141"/>
      <c r="C14" s="143"/>
      <c r="D14" s="92">
        <f>ROUND(SUM(D4:D13),-1)</f>
        <v>4010</v>
      </c>
      <c r="E14" s="92">
        <f>SUM(E5:E13)</f>
        <v>200.26288000000002</v>
      </c>
      <c r="F14" s="67">
        <f>ROUND(SUM(F4:F13), -3)</f>
        <v>233000</v>
      </c>
      <c r="G14" s="1"/>
      <c r="H14" s="1"/>
      <c r="I14" s="1"/>
    </row>
    <row r="15" spans="1:9" ht="9.75" customHeight="1" x14ac:dyDescent="0.35">
      <c r="A15" s="149"/>
      <c r="B15" s="149"/>
      <c r="C15" s="149"/>
      <c r="D15" s="149"/>
      <c r="E15" s="149"/>
      <c r="F15" s="149"/>
      <c r="G15" s="1"/>
      <c r="H15" s="1"/>
      <c r="I15" s="1"/>
    </row>
    <row r="16" spans="1:9" ht="18.75" customHeight="1" x14ac:dyDescent="0.35">
      <c r="A16" s="148" t="s">
        <v>4</v>
      </c>
      <c r="B16" s="148"/>
      <c r="C16" s="148"/>
      <c r="D16" s="148"/>
      <c r="E16" s="148"/>
      <c r="F16" s="148"/>
      <c r="G16" s="1"/>
      <c r="H16" s="1"/>
      <c r="I16" s="1"/>
    </row>
    <row r="17" spans="1:9" ht="19.899999999999999" customHeight="1" x14ac:dyDescent="0.35">
      <c r="A17" s="131" t="s">
        <v>93</v>
      </c>
      <c r="B17" s="131"/>
      <c r="C17" s="131"/>
      <c r="D17" s="131"/>
      <c r="E17" s="131"/>
      <c r="F17" s="131"/>
      <c r="G17" s="1"/>
      <c r="H17" s="1"/>
      <c r="I17" s="1"/>
    </row>
    <row r="18" spans="1:9" ht="19.899999999999999" customHeight="1" x14ac:dyDescent="0.35">
      <c r="A18" s="131" t="s">
        <v>94</v>
      </c>
      <c r="B18" s="131"/>
      <c r="C18" s="131"/>
      <c r="D18" s="131"/>
      <c r="E18" s="131"/>
      <c r="F18" s="131"/>
      <c r="G18" s="1"/>
      <c r="H18" s="1"/>
      <c r="I18" s="1"/>
    </row>
    <row r="19" spans="1:9" ht="54" customHeight="1" x14ac:dyDescent="0.35">
      <c r="A19" s="147" t="s">
        <v>201</v>
      </c>
      <c r="B19" s="145"/>
      <c r="C19" s="145"/>
      <c r="D19" s="145"/>
      <c r="E19" s="145"/>
      <c r="F19" s="145"/>
      <c r="G19" s="1"/>
      <c r="H19" s="1"/>
      <c r="I19" s="1"/>
    </row>
    <row r="20" spans="1:9" ht="28.9" customHeight="1" x14ac:dyDescent="0.35">
      <c r="A20" s="147" t="s">
        <v>95</v>
      </c>
      <c r="B20" s="145"/>
      <c r="C20" s="145"/>
      <c r="D20" s="145"/>
      <c r="E20" s="145"/>
      <c r="F20" s="145"/>
      <c r="G20" s="1"/>
      <c r="H20" s="1"/>
      <c r="I20" s="1"/>
    </row>
    <row r="21" spans="1:9" ht="17.5" customHeight="1" x14ac:dyDescent="0.35">
      <c r="A21" s="144" t="s">
        <v>96</v>
      </c>
      <c r="B21" s="145"/>
      <c r="C21" s="145"/>
      <c r="D21" s="145"/>
      <c r="E21" s="145"/>
      <c r="F21" s="145"/>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68"/>
      <c r="C24" s="68"/>
      <c r="D24" s="1"/>
      <c r="E24" s="1"/>
      <c r="F24" s="1"/>
      <c r="G24" s="1"/>
      <c r="H24" s="1"/>
      <c r="I24" s="1"/>
    </row>
    <row r="25" spans="1:9" x14ac:dyDescent="0.35">
      <c r="A25" s="1"/>
      <c r="B25" s="68"/>
      <c r="C25" s="68"/>
      <c r="D25" s="1"/>
      <c r="E25" s="1"/>
      <c r="F25" s="1"/>
      <c r="G25" s="1"/>
      <c r="H25" s="1"/>
      <c r="I25" s="1"/>
    </row>
    <row r="26" spans="1:9" x14ac:dyDescent="0.35">
      <c r="A26" s="1"/>
      <c r="B26" s="68"/>
      <c r="C26" s="68"/>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sheetData>
  <mergeCells count="9">
    <mergeCell ref="A21:F21"/>
    <mergeCell ref="A20:F20"/>
    <mergeCell ref="H4:I4"/>
    <mergeCell ref="A15:F15"/>
    <mergeCell ref="A16:F16"/>
    <mergeCell ref="A17:F17"/>
    <mergeCell ref="A18:F18"/>
    <mergeCell ref="A19:F19"/>
    <mergeCell ref="B14:C14"/>
  </mergeCells>
  <pageMargins left="0.7" right="0.7" top="0.75" bottom="0.75" header="0.3" footer="0.3"/>
  <pageSetup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L11"/>
  <sheetViews>
    <sheetView zoomScale="90" zoomScaleNormal="90" workbookViewId="0">
      <selection activeCell="A10" sqref="A10:I10"/>
    </sheetView>
  </sheetViews>
  <sheetFormatPr defaultColWidth="17.7265625" defaultRowHeight="15.75" customHeight="1" x14ac:dyDescent="0.35"/>
  <cols>
    <col min="1" max="1" width="21.453125" customWidth="1"/>
    <col min="11" max="11" width="11" customWidth="1"/>
    <col min="12" max="12" width="9.453125" customWidth="1"/>
  </cols>
  <sheetData>
    <row r="1" spans="1:12" s="15" customFormat="1" ht="15.75" customHeight="1" x14ac:dyDescent="0.3">
      <c r="A1" s="97" t="s">
        <v>101</v>
      </c>
      <c r="B1" s="98"/>
      <c r="C1" s="98"/>
      <c r="D1" s="98"/>
      <c r="E1" s="98"/>
      <c r="F1" s="98"/>
      <c r="G1" s="98"/>
      <c r="H1" s="98"/>
      <c r="I1" s="98"/>
      <c r="J1" s="91"/>
    </row>
    <row r="2" spans="1:12" s="15" customFormat="1" ht="15.75" customHeight="1" x14ac:dyDescent="0.3">
      <c r="A2" s="96" t="s">
        <v>54</v>
      </c>
      <c r="B2" s="153" t="s">
        <v>55</v>
      </c>
      <c r="C2" s="154"/>
      <c r="D2" s="154"/>
      <c r="E2" s="155"/>
      <c r="F2" s="153" t="s">
        <v>56</v>
      </c>
      <c r="G2" s="154"/>
      <c r="H2" s="154"/>
      <c r="I2" s="155"/>
      <c r="J2" s="99"/>
      <c r="K2" s="133" t="s">
        <v>0</v>
      </c>
      <c r="L2" s="133"/>
    </row>
    <row r="3" spans="1:12" s="15" customFormat="1" ht="15.75" customHeight="1" x14ac:dyDescent="0.3">
      <c r="A3" s="25"/>
      <c r="B3" s="16" t="s">
        <v>57</v>
      </c>
      <c r="C3" s="16" t="s">
        <v>58</v>
      </c>
      <c r="D3" s="16" t="s">
        <v>59</v>
      </c>
      <c r="E3" s="16" t="s">
        <v>202</v>
      </c>
      <c r="F3" s="16" t="s">
        <v>57</v>
      </c>
      <c r="G3" s="16" t="s">
        <v>58</v>
      </c>
      <c r="H3" s="16" t="s">
        <v>59</v>
      </c>
      <c r="I3" s="16" t="s">
        <v>60</v>
      </c>
      <c r="J3" s="100"/>
      <c r="K3" s="12" t="s">
        <v>1</v>
      </c>
      <c r="L3" s="27">
        <f>'PSEU Counts'!$E$9</f>
        <v>73.459999999999994</v>
      </c>
    </row>
    <row r="4" spans="1:12" s="15" customFormat="1" ht="15.75" customHeight="1" x14ac:dyDescent="0.3">
      <c r="A4" s="101" t="s">
        <v>98</v>
      </c>
      <c r="B4" s="16">
        <v>114</v>
      </c>
      <c r="C4" s="103">
        <f>B4*0.05</f>
        <v>5.7</v>
      </c>
      <c r="D4" s="103">
        <f>B4+C4</f>
        <v>119.7</v>
      </c>
      <c r="E4" s="104">
        <f>($L$3*C4)+($L$4*B4)</f>
        <v>6632.8619999999992</v>
      </c>
      <c r="F4" s="16">
        <f>B4*3</f>
        <v>342</v>
      </c>
      <c r="G4" s="103">
        <f>C4*3</f>
        <v>17.100000000000001</v>
      </c>
      <c r="H4" s="103">
        <f>F4+G4</f>
        <v>359.1</v>
      </c>
      <c r="I4" s="104">
        <f>($L$3*G4)+($L$4*F4)</f>
        <v>19898.585999999999</v>
      </c>
      <c r="J4" s="99"/>
      <c r="K4" s="12" t="s">
        <v>5</v>
      </c>
      <c r="L4" s="27">
        <f>'PSEU Counts'!$E$8</f>
        <v>54.51</v>
      </c>
    </row>
    <row r="5" spans="1:12" s="15" customFormat="1" ht="15.75" customHeight="1" x14ac:dyDescent="0.3">
      <c r="A5" s="101" t="s">
        <v>99</v>
      </c>
      <c r="B5" s="17">
        <v>1786</v>
      </c>
      <c r="C5" s="17">
        <v>94</v>
      </c>
      <c r="D5" s="17">
        <v>1880</v>
      </c>
      <c r="E5" s="104">
        <f>($L$3*C5)+($L$4*B5)</f>
        <v>104260.1</v>
      </c>
      <c r="F5" s="16">
        <f>B5*3</f>
        <v>5358</v>
      </c>
      <c r="G5" s="103">
        <f>C5*3</f>
        <v>282</v>
      </c>
      <c r="H5" s="17">
        <v>5640</v>
      </c>
      <c r="I5" s="104">
        <f>($L$3*G5)+($L$4*F5)</f>
        <v>312780.3</v>
      </c>
      <c r="J5" s="60"/>
    </row>
    <row r="6" spans="1:12" s="15" customFormat="1" ht="27" customHeight="1" x14ac:dyDescent="0.3">
      <c r="A6" s="102" t="s">
        <v>203</v>
      </c>
      <c r="B6" s="19">
        <f>SUM(B4:B5)</f>
        <v>1900</v>
      </c>
      <c r="C6" s="105">
        <f>SUM(C4:C5)</f>
        <v>99.7</v>
      </c>
      <c r="D6" s="105">
        <f>SUM(D4:D5)</f>
        <v>1999.7</v>
      </c>
      <c r="E6" s="106">
        <f>ROUND(SUM(E4:E5),-3)</f>
        <v>111000</v>
      </c>
      <c r="F6" s="19">
        <f>SUM(F4:F5)</f>
        <v>5700</v>
      </c>
      <c r="G6" s="105">
        <f>SUM(G4:G5)</f>
        <v>299.10000000000002</v>
      </c>
      <c r="H6" s="105">
        <f>ROUND(SUM(H4:H5),-1)</f>
        <v>6000</v>
      </c>
      <c r="I6" s="106">
        <f>ROUND(SUM(I4:I5),-3)</f>
        <v>333000</v>
      </c>
      <c r="J6" s="60"/>
    </row>
    <row r="8" spans="1:12" ht="36" customHeight="1" x14ac:dyDescent="0.35">
      <c r="A8" s="156" t="s">
        <v>100</v>
      </c>
      <c r="B8" s="156"/>
      <c r="C8" s="156"/>
      <c r="D8" s="156"/>
      <c r="E8" s="156"/>
      <c r="F8" s="156"/>
      <c r="G8" s="156"/>
      <c r="H8" s="156"/>
      <c r="I8" s="156"/>
    </row>
    <row r="9" spans="1:12" ht="33.75" customHeight="1" x14ac:dyDescent="0.35">
      <c r="A9" s="156" t="s">
        <v>204</v>
      </c>
      <c r="B9" s="156"/>
      <c r="C9" s="156"/>
      <c r="D9" s="156"/>
      <c r="E9" s="156"/>
      <c r="F9" s="156"/>
      <c r="G9" s="156"/>
      <c r="H9" s="156"/>
      <c r="I9" s="156"/>
    </row>
    <row r="10" spans="1:12" ht="15.75" customHeight="1" x14ac:dyDescent="0.35">
      <c r="A10" s="152" t="s">
        <v>205</v>
      </c>
      <c r="B10" s="152"/>
      <c r="C10" s="152"/>
      <c r="D10" s="152"/>
      <c r="E10" s="152"/>
      <c r="F10" s="152"/>
      <c r="G10" s="152"/>
      <c r="H10" s="152"/>
      <c r="I10" s="152"/>
    </row>
    <row r="11" spans="1:12" ht="15.75" customHeight="1" x14ac:dyDescent="0.35">
      <c r="A11" s="119"/>
      <c r="B11" s="70"/>
      <c r="C11" s="70"/>
      <c r="D11" s="70"/>
      <c r="E11" s="70"/>
      <c r="F11" s="70"/>
    </row>
  </sheetData>
  <mergeCells count="6">
    <mergeCell ref="K2:L2"/>
    <mergeCell ref="A10:I10"/>
    <mergeCell ref="B2:E2"/>
    <mergeCell ref="F2:I2"/>
    <mergeCell ref="A8:I8"/>
    <mergeCell ref="A9:I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F24"/>
  <sheetViews>
    <sheetView zoomScale="90" zoomScaleNormal="90" workbookViewId="0">
      <selection activeCell="E24" sqref="E24"/>
    </sheetView>
  </sheetViews>
  <sheetFormatPr defaultColWidth="22" defaultRowHeight="13" x14ac:dyDescent="0.3"/>
  <cols>
    <col min="1" max="1" width="22" style="15"/>
    <col min="2" max="2" width="17.54296875" style="15" customWidth="1"/>
    <col min="3" max="3" width="17.26953125" style="15" customWidth="1"/>
    <col min="4" max="4" width="22" style="15"/>
    <col min="5" max="5" width="19.81640625" style="15" customWidth="1"/>
    <col min="6" max="6" width="6" style="15" customWidth="1"/>
    <col min="7" max="16384" width="22" style="15"/>
  </cols>
  <sheetData>
    <row r="1" spans="1:6" ht="15" x14ac:dyDescent="0.3">
      <c r="A1" s="31" t="s">
        <v>43</v>
      </c>
      <c r="B1" s="5"/>
      <c r="C1" s="5"/>
    </row>
    <row r="2" spans="1:6" x14ac:dyDescent="0.3">
      <c r="A2" s="21"/>
      <c r="B2" s="21"/>
      <c r="C2" s="21"/>
      <c r="D2" s="21"/>
      <c r="E2" s="21"/>
      <c r="F2" s="21"/>
    </row>
    <row r="3" spans="1:6" ht="46.5" customHeight="1" x14ac:dyDescent="0.3">
      <c r="A3" s="19" t="s">
        <v>8</v>
      </c>
      <c r="B3" s="19" t="s">
        <v>44</v>
      </c>
      <c r="C3" s="19" t="s">
        <v>45</v>
      </c>
      <c r="D3" s="19" t="s">
        <v>46</v>
      </c>
      <c r="E3" s="19" t="s">
        <v>47</v>
      </c>
      <c r="F3" s="21"/>
    </row>
    <row r="4" spans="1:6" x14ac:dyDescent="0.3">
      <c r="A4" s="28" t="s">
        <v>48</v>
      </c>
      <c r="B4" s="81">
        <f>'Table 6.1a'!I22</f>
        <v>19300</v>
      </c>
      <c r="C4" s="83">
        <f>'Table 6.1a'!J22</f>
        <v>2190000</v>
      </c>
      <c r="D4" s="85">
        <f>'Table 6.1a'!J23</f>
        <v>0</v>
      </c>
      <c r="E4" s="82">
        <f>C4+D4</f>
        <v>2190000</v>
      </c>
      <c r="F4" s="22"/>
    </row>
    <row r="5" spans="1:6" x14ac:dyDescent="0.3">
      <c r="A5" s="18" t="s">
        <v>49</v>
      </c>
      <c r="B5" s="81">
        <f>'Table 6.1b'!I22</f>
        <v>19300.435875000003</v>
      </c>
      <c r="C5" s="83">
        <f>'Table 6.1b'!J22</f>
        <v>2190000</v>
      </c>
      <c r="D5" s="85">
        <f>'Table 6.1b'!J23</f>
        <v>0</v>
      </c>
      <c r="E5" s="82">
        <f t="shared" ref="E5:E6" si="0">C5+D5</f>
        <v>2190000</v>
      </c>
      <c r="F5" s="22"/>
    </row>
    <row r="6" spans="1:6" x14ac:dyDescent="0.3">
      <c r="A6" s="18" t="s">
        <v>50</v>
      </c>
      <c r="B6" s="81">
        <f>'Table 6.1c'!I22</f>
        <v>19300</v>
      </c>
      <c r="C6" s="83">
        <f>'Table 6.1c'!J22</f>
        <v>2190000</v>
      </c>
      <c r="D6" s="85">
        <f>'Table 6.1c'!J23</f>
        <v>0</v>
      </c>
      <c r="E6" s="82">
        <f t="shared" si="0"/>
        <v>2190000</v>
      </c>
      <c r="F6" s="23"/>
    </row>
    <row r="7" spans="1:6" x14ac:dyDescent="0.3">
      <c r="A7" s="18"/>
      <c r="B7" s="80"/>
      <c r="C7" s="33"/>
      <c r="D7" s="85"/>
      <c r="E7" s="20"/>
      <c r="F7" s="23"/>
    </row>
    <row r="8" spans="1:6" x14ac:dyDescent="0.3">
      <c r="A8" s="79" t="s">
        <v>7</v>
      </c>
      <c r="B8" s="81">
        <f>SUM(B4:B6)</f>
        <v>57900.435875000003</v>
      </c>
      <c r="C8" s="84">
        <f>SUM(C4:C6)</f>
        <v>6570000</v>
      </c>
      <c r="D8" s="86">
        <v>0</v>
      </c>
      <c r="E8" s="87">
        <f>SUM(E4:E6)</f>
        <v>6570000</v>
      </c>
      <c r="F8" s="24"/>
    </row>
    <row r="9" spans="1:6" x14ac:dyDescent="0.3">
      <c r="A9" s="41" t="s">
        <v>9</v>
      </c>
      <c r="B9" s="81">
        <f>AVERAGE(B4:B6)</f>
        <v>19300.145291666668</v>
      </c>
      <c r="C9" s="84">
        <f>AVERAGE(C4:C6)</f>
        <v>2190000</v>
      </c>
      <c r="D9" s="86">
        <v>0</v>
      </c>
      <c r="E9" s="86">
        <f>AVERAGE(E4:E6)</f>
        <v>2190000</v>
      </c>
    </row>
    <row r="10" spans="1:6" ht="11.25" customHeight="1" x14ac:dyDescent="0.3">
      <c r="A10" s="59"/>
      <c r="B10" s="60"/>
      <c r="C10" s="60"/>
      <c r="D10" s="23"/>
      <c r="E10" s="60"/>
    </row>
    <row r="11" spans="1:6" x14ac:dyDescent="0.3">
      <c r="A11" s="39"/>
      <c r="B11" s="39"/>
      <c r="C11" s="39"/>
      <c r="D11" s="39"/>
      <c r="E11" s="39"/>
    </row>
    <row r="12" spans="1:6" ht="26" x14ac:dyDescent="0.3">
      <c r="A12" s="19" t="s">
        <v>8</v>
      </c>
      <c r="B12" s="19" t="s">
        <v>51</v>
      </c>
      <c r="C12" s="19" t="s">
        <v>44</v>
      </c>
      <c r="D12" s="19" t="s">
        <v>52</v>
      </c>
      <c r="E12" s="19" t="s">
        <v>102</v>
      </c>
    </row>
    <row r="13" spans="1:6" x14ac:dyDescent="0.3">
      <c r="A13" s="28" t="s">
        <v>48</v>
      </c>
      <c r="B13" s="81">
        <f>'PSEU Counts'!P64</f>
        <v>21828</v>
      </c>
      <c r="C13" s="123">
        <f>B4</f>
        <v>19300</v>
      </c>
      <c r="D13" s="88">
        <f>C13/B13</f>
        <v>0.88418544988088699</v>
      </c>
      <c r="E13" s="89">
        <f>D13*4.27</f>
        <v>3.775471870991387</v>
      </c>
    </row>
    <row r="14" spans="1:6" x14ac:dyDescent="0.3">
      <c r="A14" s="18" t="s">
        <v>49</v>
      </c>
      <c r="B14" s="81">
        <f>'PSEU Counts'!P65</f>
        <v>22036</v>
      </c>
      <c r="C14" s="123">
        <f>B5</f>
        <v>19300.435875000003</v>
      </c>
      <c r="D14" s="88">
        <f t="shared" ref="D14:D15" si="1">C14/B14</f>
        <v>0.8758593154383737</v>
      </c>
      <c r="E14" s="89">
        <f t="shared" ref="E14:E15" si="2">D14*4.27</f>
        <v>3.7399192769218552</v>
      </c>
    </row>
    <row r="15" spans="1:6" x14ac:dyDescent="0.3">
      <c r="A15" s="18" t="s">
        <v>50</v>
      </c>
      <c r="B15" s="81">
        <f>'PSEU Counts'!P66</f>
        <v>22244</v>
      </c>
      <c r="C15" s="123">
        <f>B6</f>
        <v>19300</v>
      </c>
      <c r="D15" s="88">
        <f t="shared" si="1"/>
        <v>0.86764970329077507</v>
      </c>
      <c r="E15" s="89">
        <f t="shared" si="2"/>
        <v>3.7048642330516093</v>
      </c>
    </row>
    <row r="16" spans="1:6" x14ac:dyDescent="0.3">
      <c r="A16" s="18"/>
      <c r="B16" s="80"/>
      <c r="C16" s="124"/>
      <c r="D16" s="88"/>
      <c r="E16" s="89"/>
    </row>
    <row r="17" spans="1:5" x14ac:dyDescent="0.3">
      <c r="A17" s="79" t="s">
        <v>7</v>
      </c>
      <c r="B17" s="81">
        <f>SUM(B13:B15)</f>
        <v>66108</v>
      </c>
      <c r="C17" s="125">
        <f>SUM(C13:C15)</f>
        <v>57900.435875000003</v>
      </c>
      <c r="D17" s="125">
        <f>SUM(D13:D15)</f>
        <v>2.6276944686100356</v>
      </c>
      <c r="E17" s="89">
        <f>SUM(E13:E15)</f>
        <v>11.220255380964851</v>
      </c>
    </row>
    <row r="18" spans="1:5" x14ac:dyDescent="0.3">
      <c r="A18" s="41" t="s">
        <v>9</v>
      </c>
      <c r="B18" s="81">
        <f>AVERAGE(B13:B15)</f>
        <v>22036</v>
      </c>
      <c r="C18" s="125">
        <f>AVERAGE(C13:C15)</f>
        <v>19300.145291666668</v>
      </c>
      <c r="D18" s="125">
        <f>AVERAGE(D13:D15)</f>
        <v>0.87589815620334521</v>
      </c>
      <c r="E18" s="125">
        <f>AVERAGE(E13:E15)</f>
        <v>3.7400851269882835</v>
      </c>
    </row>
    <row r="20" spans="1:5" ht="14.5" x14ac:dyDescent="0.3">
      <c r="A20" s="15" t="s">
        <v>103</v>
      </c>
    </row>
    <row r="24" spans="1:5" x14ac:dyDescent="0.3">
      <c r="E24" s="126"/>
    </row>
  </sheetData>
  <pageMargins left="0.7" right="0.7" top="0.75" bottom="0.75" header="0.3" footer="0.3"/>
  <pageSetup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88708A-52BB-4D0F-B232-80F9E123F193}">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4d6aed1e-57d3-46e3-9aba-f706adbce63b"/>
    <ds:schemaRef ds:uri="1891fcec-84c2-4840-9468-b51a784ab0d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Summary</vt:lpstr>
      <vt:lpstr>Table 6.1a</vt:lpstr>
      <vt:lpstr>Table 6.1b</vt:lpstr>
      <vt:lpstr>Table 6.1c</vt:lpstr>
      <vt:lpstr>Table 6.2a</vt:lpstr>
      <vt:lpstr>Table 6.2b</vt:lpstr>
      <vt:lpstr>Table 6.2c</vt:lpstr>
      <vt:lpstr>Table 6.3</vt:lpstr>
      <vt:lpstr>Table 6.4</vt:lpstr>
      <vt:lpstr>Table 6.5</vt:lpstr>
      <vt:lpstr>Table 6.6</vt:lpstr>
      <vt:lpstr>PSEU 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Wrigley, William</cp:lastModifiedBy>
  <cp:revision/>
  <dcterms:created xsi:type="dcterms:W3CDTF">2018-07-19T14:57:42Z</dcterms:created>
  <dcterms:modified xsi:type="dcterms:W3CDTF">2023-10-03T19:54:45Z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