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herrington_leigh_epa_gov/Documents/ICR_PM_2023/2023 ICR/2nd Notice/"/>
    </mc:Choice>
  </mc:AlternateContent>
  <xr:revisionPtr revIDLastSave="0" documentId="8_{D1CC5232-6607-495D-9240-550EA89E6AD0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PM25 ICR summary" sheetId="36" r:id="rId1"/>
    <sheet name="PM25 by State" sheetId="33" r:id="rId2"/>
    <sheet name="PM25Reg sum" sheetId="35" r:id="rId3"/>
    <sheet name="PM25By Region" sheetId="34" r:id="rId4"/>
    <sheet name="PM25 Present Value Costs" sheetId="31" r:id="rId5"/>
    <sheet name="pm25annual" sheetId="30" r:id="rId6"/>
    <sheet name="Updated labor rates" sheetId="22" r:id="rId7"/>
    <sheet name="Reg lookup" sheetId="7" r:id="rId8"/>
  </sheets>
  <externalReferences>
    <externalReference r:id="rId9"/>
  </externalReferences>
  <definedNames>
    <definedName name="Abbn">'Reg lookup'!$A$1:$C$52</definedName>
    <definedName name="Percentabove">'[1]Class lookup'!$B$5:$C$142</definedName>
    <definedName name="_xlnm.Print_Area" localSheetId="6">'Updated labor rates'!$A$1:$M$34</definedName>
    <definedName name="_xlnm.Print_Titles" localSheetId="4">'PM25 Present Value Costs'!$A:$A,'PM25 Present Value Costs'!$2:$2</definedName>
    <definedName name="Regionnum">'Reg lookup'!$B$2:$C$52</definedName>
    <definedName name="Regions">'Reg lookup'!$B$2:$D$52</definedName>
    <definedName name="scottclasslook" localSheetId="0">#REF!</definedName>
    <definedName name="scottclasslook" localSheetId="4">#REF!</definedName>
    <definedName name="scottclasslook" localSheetId="3">#REF!</definedName>
    <definedName name="scottclasslook">#REF!</definedName>
    <definedName name="State_abrv">'Reg lookup'!$A$1:$C$52</definedName>
    <definedName name="Statename">#REF!</definedName>
    <definedName name="StateReg">'Reg lookup'!$B$2:$C$52</definedName>
  </definedNames>
  <calcPr calcId="191028"/>
  <pivotCaches>
    <pivotCache cacheId="0" r:id="rId10"/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5" l="1"/>
  <c r="C20" i="36" l="1"/>
  <c r="H19" i="33"/>
  <c r="H23" i="33"/>
  <c r="H21" i="33"/>
  <c r="C26" i="33"/>
  <c r="D47" i="22"/>
  <c r="F17" i="31"/>
  <c r="D17" i="31"/>
  <c r="F9" i="30"/>
  <c r="H9" i="30"/>
  <c r="J9" i="30" s="1"/>
  <c r="M9" i="30" s="1"/>
  <c r="H18" i="30"/>
  <c r="I18" i="30" s="1"/>
  <c r="H17" i="30"/>
  <c r="J17" i="30" s="1"/>
  <c r="H16" i="30"/>
  <c r="J16" i="30" s="1"/>
  <c r="H15" i="30"/>
  <c r="I15" i="30" s="1"/>
  <c r="H14" i="30"/>
  <c r="J14" i="30" s="1"/>
  <c r="H13" i="30"/>
  <c r="J13" i="30" s="1"/>
  <c r="H12" i="30"/>
  <c r="J12" i="30" s="1"/>
  <c r="H11" i="30"/>
  <c r="J11" i="30" s="1"/>
  <c r="H10" i="30"/>
  <c r="J10" i="30" s="1"/>
  <c r="H8" i="30"/>
  <c r="J8" i="30" s="1"/>
  <c r="H7" i="30"/>
  <c r="J7" i="30" s="1"/>
  <c r="F23" i="33"/>
  <c r="E21" i="33"/>
  <c r="D20" i="33"/>
  <c r="E20" i="33" s="1"/>
  <c r="F19" i="33"/>
  <c r="D18" i="33"/>
  <c r="F18" i="33" s="1"/>
  <c r="F21" i="33" l="1"/>
  <c r="I9" i="30"/>
  <c r="L9" i="30" s="1"/>
  <c r="K9" i="30"/>
  <c r="I10" i="30"/>
  <c r="I14" i="30"/>
  <c r="E18" i="33"/>
  <c r="J15" i="30"/>
  <c r="M15" i="30" s="1"/>
  <c r="E19" i="33"/>
  <c r="I13" i="30"/>
  <c r="L13" i="30" s="1"/>
  <c r="F20" i="33"/>
  <c r="I17" i="30"/>
  <c r="I7" i="30"/>
  <c r="J18" i="30"/>
  <c r="I8" i="30"/>
  <c r="L8" i="30" s="1"/>
  <c r="I11" i="30"/>
  <c r="L11" i="30" s="1"/>
  <c r="I16" i="30"/>
  <c r="L16" i="30" s="1"/>
  <c r="I12" i="30"/>
  <c r="L12" i="30" s="1"/>
  <c r="E23" i="33"/>
  <c r="H19" i="30"/>
  <c r="K18" i="30"/>
  <c r="K17" i="30"/>
  <c r="M17" i="30"/>
  <c r="K16" i="30"/>
  <c r="M16" i="30"/>
  <c r="K15" i="30"/>
  <c r="K14" i="30"/>
  <c r="M14" i="30"/>
  <c r="K13" i="30"/>
  <c r="M13" i="30"/>
  <c r="K12" i="30"/>
  <c r="K11" i="30"/>
  <c r="K10" i="30"/>
  <c r="M10" i="30"/>
  <c r="K8" i="30"/>
  <c r="M7" i="30"/>
  <c r="K7" i="30"/>
  <c r="I19" i="30" l="1"/>
  <c r="L19" i="30" s="1"/>
  <c r="J19" i="30"/>
  <c r="M19" i="30" s="1"/>
  <c r="L7" i="30"/>
  <c r="K19" i="30"/>
  <c r="M8" i="30"/>
  <c r="M12" i="30"/>
  <c r="L18" i="30"/>
  <c r="M18" i="30"/>
  <c r="M11" i="30"/>
  <c r="L10" i="30"/>
  <c r="L14" i="30"/>
  <c r="L15" i="30"/>
  <c r="L17" i="30"/>
  <c r="B26" i="33" l="1"/>
  <c r="C17" i="36" s="1"/>
  <c r="C6" i="31"/>
  <c r="H6" i="31" s="1"/>
  <c r="A6" i="31"/>
  <c r="C5" i="31"/>
  <c r="H5" i="31" s="1"/>
  <c r="D5" i="31"/>
  <c r="A5" i="31"/>
  <c r="C4" i="31"/>
  <c r="H4" i="31" s="1"/>
  <c r="A4" i="31"/>
  <c r="C3" i="31"/>
  <c r="B3" i="31"/>
  <c r="A3" i="31"/>
  <c r="E19" i="34"/>
  <c r="F16" i="34"/>
  <c r="C24" i="33"/>
  <c r="C19" i="31"/>
  <c r="B19" i="31"/>
  <c r="E19" i="30"/>
  <c r="F18" i="30"/>
  <c r="F17" i="30"/>
  <c r="F16" i="30"/>
  <c r="F15" i="30"/>
  <c r="F14" i="30"/>
  <c r="F13" i="30"/>
  <c r="F12" i="30"/>
  <c r="F11" i="30"/>
  <c r="F10" i="30"/>
  <c r="F8" i="30"/>
  <c r="F7" i="30"/>
  <c r="H3" i="31" l="1"/>
  <c r="H7" i="31" s="1"/>
  <c r="C7" i="31"/>
  <c r="J6" i="31"/>
  <c r="I6" i="31"/>
  <c r="K6" i="31" s="1"/>
  <c r="J3" i="31"/>
  <c r="I3" i="31"/>
  <c r="J5" i="31"/>
  <c r="I5" i="31"/>
  <c r="F19" i="30"/>
  <c r="J4" i="31"/>
  <c r="I4" i="31"/>
  <c r="Q6" i="31"/>
  <c r="D6" i="31"/>
  <c r="Q4" i="31"/>
  <c r="D4" i="31"/>
  <c r="Q3" i="31"/>
  <c r="D3" i="31"/>
  <c r="F5" i="31"/>
  <c r="E5" i="31"/>
  <c r="C19" i="36"/>
  <c r="F12" i="34"/>
  <c r="F13" i="34"/>
  <c r="F7" i="34"/>
  <c r="F14" i="34"/>
  <c r="F18" i="34"/>
  <c r="F8" i="34"/>
  <c r="F10" i="34"/>
  <c r="F15" i="34"/>
  <c r="F17" i="34"/>
  <c r="F9" i="34"/>
  <c r="F11" i="34"/>
  <c r="P5" i="31"/>
  <c r="O5" i="31"/>
  <c r="M5" i="31"/>
  <c r="L5" i="31"/>
  <c r="N5" i="31"/>
  <c r="P4" i="31"/>
  <c r="O4" i="31"/>
  <c r="L4" i="31"/>
  <c r="N4" i="31"/>
  <c r="M4" i="31"/>
  <c r="P3" i="31"/>
  <c r="O3" i="31"/>
  <c r="M3" i="31"/>
  <c r="L3" i="31"/>
  <c r="N3" i="31"/>
  <c r="Q5" i="31"/>
  <c r="P6" i="31"/>
  <c r="O6" i="31"/>
  <c r="M6" i="31"/>
  <c r="N6" i="31"/>
  <c r="L6" i="31"/>
  <c r="B7" i="31"/>
  <c r="C14" i="36" l="1"/>
  <c r="C18" i="36" s="1"/>
  <c r="F3" i="31"/>
  <c r="E3" i="31"/>
  <c r="D7" i="31"/>
  <c r="D9" i="31" s="1"/>
  <c r="D10" i="31" s="1"/>
  <c r="F4" i="31"/>
  <c r="E4" i="31"/>
  <c r="F6" i="31"/>
  <c r="E6" i="31"/>
  <c r="B13" i="31"/>
  <c r="F19" i="34"/>
  <c r="H19" i="34" s="1"/>
  <c r="O7" i="31"/>
  <c r="O9" i="31" s="1"/>
  <c r="O10" i="31" s="1"/>
  <c r="P7" i="31"/>
  <c r="P9" i="31" s="1"/>
  <c r="P10" i="31" s="1"/>
  <c r="H9" i="31"/>
  <c r="H10" i="31" s="1"/>
  <c r="N7" i="31"/>
  <c r="N9" i="31" s="1"/>
  <c r="N10" i="31" s="1"/>
  <c r="Q7" i="31"/>
  <c r="Q9" i="31" s="1"/>
  <c r="Q10" i="31" s="1"/>
  <c r="L7" i="31"/>
  <c r="L9" i="31" s="1"/>
  <c r="L10" i="31" s="1"/>
  <c r="M7" i="31"/>
  <c r="M9" i="31" s="1"/>
  <c r="M10" i="31" s="1"/>
  <c r="E7" i="31" l="1"/>
  <c r="E9" i="31" s="1"/>
  <c r="F7" i="31"/>
  <c r="F9" i="31" s="1"/>
  <c r="F10" i="31" s="1"/>
  <c r="J7" i="31"/>
  <c r="J9" i="31" s="1"/>
  <c r="J10" i="31" s="1"/>
  <c r="C20" i="31" s="1"/>
  <c r="G6" i="31"/>
  <c r="G5" i="31"/>
  <c r="G3" i="31"/>
  <c r="I7" i="31"/>
  <c r="K3" i="31"/>
  <c r="G4" i="31"/>
  <c r="K5" i="31"/>
  <c r="K4" i="31"/>
  <c r="E45" i="22"/>
  <c r="F47" i="22" s="1"/>
  <c r="C45" i="22"/>
  <c r="B45" i="22"/>
  <c r="B47" i="22" s="1"/>
  <c r="K7" i="31" l="1"/>
  <c r="K9" i="31" s="1"/>
  <c r="K10" i="31" s="1"/>
  <c r="G7" i="31"/>
  <c r="G9" i="31" s="1"/>
  <c r="G10" i="31" s="1"/>
  <c r="E10" i="31"/>
  <c r="B14" i="31" s="1"/>
  <c r="B15" i="31" s="1"/>
  <c r="I9" i="31"/>
  <c r="I10" i="31" s="1"/>
  <c r="B20" i="31" s="1"/>
  <c r="G49" i="22"/>
  <c r="E24" i="31" l="1"/>
  <c r="G12" i="31"/>
  <c r="D20" i="31"/>
  <c r="E20" i="31" s="1"/>
  <c r="J49" i="22"/>
  <c r="I49" i="22"/>
  <c r="K49" i="22"/>
  <c r="M49" i="22" l="1"/>
  <c r="K50" i="22"/>
  <c r="F20" i="31" l="1"/>
  <c r="E29" i="22"/>
  <c r="C29" i="22"/>
  <c r="B29" i="22"/>
  <c r="B31" i="22" s="1"/>
  <c r="F31" i="22"/>
  <c r="D31" i="22"/>
  <c r="K17" i="22"/>
  <c r="F12" i="22"/>
  <c r="D12" i="22"/>
  <c r="B12" i="22"/>
  <c r="J17" i="22"/>
  <c r="I17" i="22"/>
  <c r="G33" i="22" l="1"/>
  <c r="G14" i="22"/>
  <c r="I14" i="22" s="1"/>
  <c r="K33" i="22"/>
  <c r="K14" i="22"/>
  <c r="J14" i="22"/>
  <c r="J33" i="22"/>
  <c r="K18" i="22"/>
  <c r="M17" i="22"/>
  <c r="I33" i="22"/>
  <c r="K34" i="22" l="1"/>
  <c r="K15" i="22"/>
  <c r="M14" i="22"/>
  <c r="M33" i="22"/>
  <c r="C21" i="31" l="1"/>
  <c r="D19" i="31" l="1"/>
  <c r="E19" i="31" s="1"/>
  <c r="B21" i="31"/>
  <c r="D21" i="31" l="1"/>
  <c r="F19" i="31" l="1"/>
  <c r="E21" i="31"/>
  <c r="F21" i="31" s="1"/>
  <c r="C15" i="36" l="1"/>
  <c r="C16" i="36" s="1"/>
  <c r="D22" i="33"/>
  <c r="F22" i="33" s="1"/>
  <c r="F24" i="33" s="1"/>
  <c r="H24" i="33"/>
  <c r="D24" i="33" l="1"/>
  <c r="E22" i="33"/>
  <c r="E24" i="33" s="1"/>
</calcChain>
</file>

<file path=xl/sharedStrings.xml><?xml version="1.0" encoding="utf-8"?>
<sst xmlns="http://schemas.openxmlformats.org/spreadsheetml/2006/main" count="339" uniqueCount="220">
  <si>
    <t>labor hours:</t>
  </si>
  <si>
    <t>annual labor cost:</t>
  </si>
  <si>
    <t>cost per state:</t>
  </si>
  <si>
    <t>State respondents:</t>
  </si>
  <si>
    <t>hrs/response:</t>
  </si>
  <si>
    <t>Responses/state:</t>
  </si>
  <si>
    <t>Row Labels</t>
  </si>
  <si>
    <t xml:space="preserve">Max of EPA Region </t>
  </si>
  <si>
    <t>Count of Nonattainment Area for  PM2.5 NAAQS</t>
  </si>
  <si>
    <t>Sum of 3-year Burden Estimate (Hours)</t>
  </si>
  <si>
    <t>AK</t>
  </si>
  <si>
    <t>AZ</t>
  </si>
  <si>
    <t>CA</t>
  </si>
  <si>
    <t>ID</t>
  </si>
  <si>
    <t>MT</t>
  </si>
  <si>
    <t>OR</t>
  </si>
  <si>
    <t>PA</t>
  </si>
  <si>
    <t>UT</t>
  </si>
  <si>
    <t>Grand Total</t>
  </si>
  <si>
    <t>State</t>
  </si>
  <si>
    <t>EPA Region</t>
  </si>
  <si>
    <t>No. of Areas or Parts of Areas</t>
  </si>
  <si>
    <t>Additional hours</t>
  </si>
  <si>
    <t>Additional hours Year 2</t>
  </si>
  <si>
    <t>Additional hours Year 3</t>
  </si>
  <si>
    <t>3 yr burden</t>
  </si>
  <si>
    <t xml:space="preserve"> Year 1</t>
  </si>
  <si>
    <t>Total</t>
  </si>
  <si>
    <t xml:space="preserve"> </t>
  </si>
  <si>
    <t>State respondents</t>
  </si>
  <si>
    <t>Number of responses</t>
  </si>
  <si>
    <t>Table 1.  Areas Designated Nonattainment for 1997, 2006 and/or 2012 PM2.5 NAAQS: Estimated Burden for PM2.5 NAAQS Attainment Plan or Maintenance Plan</t>
  </si>
  <si>
    <r>
      <t>Nonattainment Area for  PM</t>
    </r>
    <r>
      <rPr>
        <b/>
        <vertAlign val="subscript"/>
        <sz val="12"/>
        <color rgb="FF000000"/>
        <rFont val="Times New Roman"/>
        <family val="1"/>
      </rPr>
      <t>2.5</t>
    </r>
    <r>
      <rPr>
        <b/>
        <sz val="12"/>
        <color rgb="FF000000"/>
        <rFont val="Times New Roman"/>
        <family val="1"/>
      </rPr>
      <t xml:space="preserve"> NAAQS</t>
    </r>
  </si>
  <si>
    <t xml:space="preserve">EPA Region </t>
  </si>
  <si>
    <t>3-year Burden Estimate (Hours)</t>
  </si>
  <si>
    <t>Fairbanks</t>
  </si>
  <si>
    <t xml:space="preserve">2006 189(d) SIP Revision </t>
  </si>
  <si>
    <t>2006 Maintenance Plan</t>
  </si>
  <si>
    <t>West Central Pinal</t>
  </si>
  <si>
    <t>Imperial</t>
  </si>
  <si>
    <t>Los Angeles-South Coast Air Basin</t>
  </si>
  <si>
    <t>2006/2012 SIP Revisions ; 1997 Maintenance Plan</t>
  </si>
  <si>
    <t>Plumas  County</t>
  </si>
  <si>
    <t>2012 SIP Revision</t>
  </si>
  <si>
    <t>Sacramento</t>
  </si>
  <si>
    <t>San Francisco</t>
  </si>
  <si>
    <t>San Joaquin Valley</t>
  </si>
  <si>
    <t xml:space="preserve">1997/2006/2012 SIP Revisions </t>
  </si>
  <si>
    <t>Klamath Falls</t>
  </si>
  <si>
    <t>Allegheny</t>
  </si>
  <si>
    <t>1997/2006/2012Maintenance Plan</t>
  </si>
  <si>
    <t>Provo</t>
  </si>
  <si>
    <t>Salt Lake City</t>
  </si>
  <si>
    <t>TOTAL</t>
  </si>
  <si>
    <t>EPA</t>
  </si>
  <si>
    <t>Region</t>
  </si>
  <si>
    <t>State Total Hours by Region</t>
  </si>
  <si>
    <t>State Total Cost by Region</t>
  </si>
  <si>
    <t>Yr 1 EPA Region hrs</t>
  </si>
  <si>
    <t>Yr 2 EPA Region hrs</t>
  </si>
  <si>
    <t>Yr 3 EPA Reg. Hr</t>
  </si>
  <si>
    <t>EPA Regional Total</t>
  </si>
  <si>
    <t>Yr 1 EPA Region Cost</t>
  </si>
  <si>
    <t>Yr 2 EPA Region Cost</t>
  </si>
  <si>
    <t>Yr 3 EPA Region Cost</t>
  </si>
  <si>
    <t>Yr 1 EPA Region hrs (37.5%)</t>
  </si>
  <si>
    <t>Yr 2 EPA Region hrs (37.5%)</t>
  </si>
  <si>
    <t>Yr 3 EPA Reg. Hr (37.5)</t>
  </si>
  <si>
    <t>Yr 1 EPA Region hrs (37.5)</t>
  </si>
  <si>
    <t>Yr 2 EPA Region hrs (37.5)</t>
  </si>
  <si>
    <t>Yr 3 EPA Reg. Hr (25)</t>
  </si>
  <si>
    <t>Subtotal</t>
  </si>
  <si>
    <t>EPA HEADQUARTERS</t>
  </si>
  <si>
    <t>TOTAL EPA BURDEN</t>
  </si>
  <si>
    <t>Average Yearly Burden (hours)</t>
  </si>
  <si>
    <t>States</t>
  </si>
  <si>
    <t>Discount rate at 8.25% Bank Prime Rate (6/16/23) Larry Sorrels</t>
  </si>
  <si>
    <t>Present value costs</t>
  </si>
  <si>
    <t>2nd year rate</t>
  </si>
  <si>
    <t>3rd year rate</t>
  </si>
  <si>
    <t>2nd year</t>
  </si>
  <si>
    <t>3rd year</t>
  </si>
  <si>
    <t>Total 3-yr burden hours</t>
  </si>
  <si>
    <t>2023Estimated total weighted direct and indirect hourly equivalent salary</t>
  </si>
  <si>
    <t>Potential Actions during ICR period 02/2024-01/2027</t>
  </si>
  <si>
    <t>3-year Burden Estimate (2023 Dollars)</t>
  </si>
  <si>
    <t>Yr 1 hrs</t>
  </si>
  <si>
    <t>Yr 2 hrs</t>
  </si>
  <si>
    <t>Yr 3 hrs</t>
  </si>
  <si>
    <t>Yr 1 cost</t>
  </si>
  <si>
    <t>Yr 2 cost</t>
  </si>
  <si>
    <t>Yr 3 cost</t>
  </si>
  <si>
    <t>2006/2012 Maintenance Plan</t>
  </si>
  <si>
    <t>2006/2012 SIP Revisions; 1997 Maintenance Plan</t>
  </si>
  <si>
    <t>2012 Serious SIP Revision</t>
  </si>
  <si>
    <t>1997/2006/2012 Maintenance Plan</t>
  </si>
  <si>
    <t>2009 weighted direct salary per employee</t>
  </si>
  <si>
    <t>2009 weighted indirect cost per employee</t>
  </si>
  <si>
    <t>2009 Estimated total weighted direct and indirect hourly equivalent salary</t>
  </si>
  <si>
    <t xml:space="preserve">LOCALITY PAY AREA </t>
  </si>
  <si>
    <t>GS-11 Step 3 (Staff)</t>
  </si>
  <si>
    <t>GS-13 Step 3 (Mgmt)</t>
  </si>
  <si>
    <t>1/11 of GS-13 Step 3</t>
  </si>
  <si>
    <t>GS-6 Step 6 (Support staff)</t>
  </si>
  <si>
    <t>1/8 of GS-6 Step 6</t>
  </si>
  <si>
    <t>Weighted direct labor estimate total</t>
  </si>
  <si>
    <t>Benefits - 16% weighted labor rate</t>
  </si>
  <si>
    <t>Sick/Annual leave - 10% weighted labor rate</t>
  </si>
  <si>
    <t>Overhead - 32% weighted labor rate</t>
  </si>
  <si>
    <t>SAN JOSE-SAN FRANCISCO-OAKLAND, CA</t>
  </si>
  <si>
    <t>WASHINGTON-BALTIMORE-NORTHERN VIRGINIA, DC-MD-VA-WV-</t>
  </si>
  <si>
    <t>Average labor rates</t>
  </si>
  <si>
    <t>Weighted direct labor estimate parts</t>
  </si>
  <si>
    <t>Matched if used 16% for support staff instead of 1/8 ratio</t>
  </si>
  <si>
    <t>2012 weighted direct salary per employee</t>
  </si>
  <si>
    <t>2012 weighted indirect cost per employee</t>
  </si>
  <si>
    <t>2012 Estimated total weighted direct and indirect hourly equivalent salary</t>
  </si>
  <si>
    <t>2023 weighted direct salary per employee</t>
  </si>
  <si>
    <t>2023 weighted indirect cost per employee</t>
  </si>
  <si>
    <t>2023 Estimated total weighted direct and indirect hourly equivalent salary</t>
  </si>
  <si>
    <t>Abbn</t>
  </si>
  <si>
    <t xml:space="preserve"> Alaska</t>
  </si>
  <si>
    <t>AL</t>
  </si>
  <si>
    <t xml:space="preserve"> Alabama</t>
  </si>
  <si>
    <t>AR</t>
  </si>
  <si>
    <t xml:space="preserve"> Arkansas</t>
  </si>
  <si>
    <t xml:space="preserve"> Arizona</t>
  </si>
  <si>
    <t xml:space="preserve"> California</t>
  </si>
  <si>
    <t>CO</t>
  </si>
  <si>
    <t xml:space="preserve"> Colorado</t>
  </si>
  <si>
    <t>CT</t>
  </si>
  <si>
    <t xml:space="preserve"> Connecticut </t>
  </si>
  <si>
    <t>DC</t>
  </si>
  <si>
    <t xml:space="preserve"> District of Columbia</t>
  </si>
  <si>
    <t>DE</t>
  </si>
  <si>
    <t xml:space="preserve"> Delaware</t>
  </si>
  <si>
    <t>FL</t>
  </si>
  <si>
    <t xml:space="preserve"> Florida</t>
  </si>
  <si>
    <t>GA</t>
  </si>
  <si>
    <t xml:space="preserve"> Georgia</t>
  </si>
  <si>
    <t>HI</t>
  </si>
  <si>
    <t xml:space="preserve"> Hawaii</t>
  </si>
  <si>
    <t>IA</t>
  </si>
  <si>
    <t xml:space="preserve"> Iowa</t>
  </si>
  <si>
    <t xml:space="preserve"> Idaho</t>
  </si>
  <si>
    <t>IL</t>
  </si>
  <si>
    <t xml:space="preserve"> Illinois</t>
  </si>
  <si>
    <t>IN</t>
  </si>
  <si>
    <t xml:space="preserve"> Indiana</t>
  </si>
  <si>
    <t>KS</t>
  </si>
  <si>
    <t xml:space="preserve"> Kansas</t>
  </si>
  <si>
    <t>KY</t>
  </si>
  <si>
    <t xml:space="preserve"> Kentucky</t>
  </si>
  <si>
    <t>LA</t>
  </si>
  <si>
    <t xml:space="preserve"> Louisiana</t>
  </si>
  <si>
    <t>MA</t>
  </si>
  <si>
    <t xml:space="preserve"> Massachusetts</t>
  </si>
  <si>
    <t>ME</t>
  </si>
  <si>
    <t xml:space="preserve"> Maine</t>
  </si>
  <si>
    <t>MD</t>
  </si>
  <si>
    <t xml:space="preserve"> Maryland</t>
  </si>
  <si>
    <t>MI</t>
  </si>
  <si>
    <t xml:space="preserve"> Michigan</t>
  </si>
  <si>
    <t>MN</t>
  </si>
  <si>
    <t xml:space="preserve"> Minnesota</t>
  </si>
  <si>
    <t>MO</t>
  </si>
  <si>
    <t xml:space="preserve"> Missouri</t>
  </si>
  <si>
    <t>MS</t>
  </si>
  <si>
    <t xml:space="preserve"> Mississippi</t>
  </si>
  <si>
    <t xml:space="preserve"> Montana</t>
  </si>
  <si>
    <t>NC</t>
  </si>
  <si>
    <t xml:space="preserve"> North Carolina</t>
  </si>
  <si>
    <t>ND</t>
  </si>
  <si>
    <t xml:space="preserve"> North Dakota</t>
  </si>
  <si>
    <t>NE</t>
  </si>
  <si>
    <t xml:space="preserve"> Nebraska</t>
  </si>
  <si>
    <t>NH</t>
  </si>
  <si>
    <t xml:space="preserve"> New Hampshire</t>
  </si>
  <si>
    <t>NJ</t>
  </si>
  <si>
    <t xml:space="preserve"> New Jersey</t>
  </si>
  <si>
    <t>NM</t>
  </si>
  <si>
    <t xml:space="preserve"> New Mexico</t>
  </si>
  <si>
    <t>NV</t>
  </si>
  <si>
    <t xml:space="preserve"> Nevada</t>
  </si>
  <si>
    <t>NY</t>
  </si>
  <si>
    <t xml:space="preserve"> New York</t>
  </si>
  <si>
    <t>OH</t>
  </si>
  <si>
    <t xml:space="preserve"> Ohio</t>
  </si>
  <si>
    <t>OK</t>
  </si>
  <si>
    <t xml:space="preserve"> Oklahoma</t>
  </si>
  <si>
    <t xml:space="preserve"> Oregon</t>
  </si>
  <si>
    <t xml:space="preserve"> Pennsylvania</t>
  </si>
  <si>
    <t>RI</t>
  </si>
  <si>
    <t xml:space="preserve"> Rhode Island</t>
  </si>
  <si>
    <t>SC</t>
  </si>
  <si>
    <t xml:space="preserve"> South Carolina</t>
  </si>
  <si>
    <t>SD</t>
  </si>
  <si>
    <t xml:space="preserve"> South Dakota</t>
  </si>
  <si>
    <t>TN</t>
  </si>
  <si>
    <t xml:space="preserve"> Tennessee</t>
  </si>
  <si>
    <t>TX</t>
  </si>
  <si>
    <t xml:space="preserve"> Texas</t>
  </si>
  <si>
    <t xml:space="preserve"> Utah</t>
  </si>
  <si>
    <t>VT</t>
  </si>
  <si>
    <t xml:space="preserve"> Vermont </t>
  </si>
  <si>
    <t>VA</t>
  </si>
  <si>
    <t xml:space="preserve"> Virginia</t>
  </si>
  <si>
    <t>WA</t>
  </si>
  <si>
    <t xml:space="preserve"> Washington</t>
  </si>
  <si>
    <t>WI</t>
  </si>
  <si>
    <t xml:space="preserve"> Wisconsin</t>
  </si>
  <si>
    <t>WV</t>
  </si>
  <si>
    <t xml:space="preserve"> West Virginia</t>
  </si>
  <si>
    <t>WY</t>
  </si>
  <si>
    <t xml:space="preserve"> Wyoming</t>
  </si>
  <si>
    <t>Potential Actions during ICR period 2/1/2024-1/31/2027</t>
  </si>
  <si>
    <t xml:space="preserve"># responses: </t>
  </si>
  <si>
    <t>Yearly state cost (all states)</t>
  </si>
  <si>
    <t>Sum of 3-year Burden Estimate (2023 Dollars)</t>
  </si>
  <si>
    <r>
      <t>The annual burden to the state respondents for this information collection averaged over the first 3 years of this ICR is estimated to be a total of 74,700</t>
    </r>
    <r>
      <rPr>
        <sz val="12"/>
        <color indexed="10"/>
        <rFont val="Cambria"/>
        <family val="1"/>
      </rPr>
      <t xml:space="preserve"> </t>
    </r>
    <r>
      <rPr>
        <sz val="12"/>
        <rFont val="Cambria"/>
        <family val="1"/>
      </rPr>
      <t xml:space="preserve">labor hours at an average of 24,900 labor hours per year at </t>
    </r>
    <r>
      <rPr>
        <sz val="12"/>
        <color indexed="10"/>
        <rFont val="Cambria"/>
        <family val="1"/>
      </rPr>
      <t>an annual</t>
    </r>
    <r>
      <rPr>
        <sz val="12"/>
        <rFont val="Cambria"/>
        <family val="1"/>
      </rPr>
      <t xml:space="preserve"> labor cost of $1.76 million (present value) over the 3-year period or approximately </t>
    </r>
    <r>
      <rPr>
        <sz val="12"/>
        <color indexed="10"/>
        <rFont val="Cambria"/>
        <family val="1"/>
      </rPr>
      <t>$294 thousand</t>
    </r>
    <r>
      <rPr>
        <sz val="12"/>
        <rFont val="Cambria"/>
        <family val="1"/>
      </rPr>
      <t xml:space="preserve"> per state for the 6 state respondents.  The average annual reporting burden is 6,225 hours per response, with approximately </t>
    </r>
    <r>
      <rPr>
        <b/>
        <sz val="12"/>
        <color indexed="10"/>
        <rFont val="Cambria"/>
        <family val="1"/>
      </rPr>
      <t xml:space="preserve">2 </t>
    </r>
    <r>
      <rPr>
        <sz val="12"/>
        <rFont val="Cambria"/>
        <family val="1"/>
      </rPr>
      <t>responses per state for 12 responses.  There are no capital and operating and maintenance costs associated with the proposed rule requirements.  Burden is defined at 5 CFR 1320.3(b).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</si>
</sst>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_);_(* \(#,##0\);_(* &quot;-&quot;?_);_(@_)"/>
    <numFmt numFmtId="167" formatCode="_(* #,##0.000000_);_(* \(#,##0.000000\);_(* &quot;-&quot;??_);_(@_)"/>
    <numFmt numFmtId="168" formatCode="&quot;$&quot;#,##0"/>
    <numFmt numFmtId="169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mbria"/>
      <family val="1"/>
    </font>
    <font>
      <sz val="12"/>
      <color indexed="10"/>
      <name val="Cambria"/>
      <family val="1"/>
    </font>
    <font>
      <b/>
      <sz val="12"/>
      <color indexed="10"/>
      <name val="Cambria"/>
      <family val="1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rgb="FFFF0000"/>
      <name val="Arial"/>
      <family val="2"/>
    </font>
    <font>
      <sz val="11"/>
      <color theme="0" tint="-0.49998474074526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3" fillId="0" borderId="0"/>
    <xf numFmtId="3" fontId="5" fillId="0" borderId="0"/>
    <xf numFmtId="44" fontId="12" fillId="0" borderId="0" applyFont="0" applyFill="0" applyBorder="0" applyAlignment="0" applyProtection="0"/>
    <xf numFmtId="0" fontId="12" fillId="0" borderId="0"/>
    <xf numFmtId="0" fontId="5" fillId="0" borderId="0"/>
    <xf numFmtId="0" fontId="10" fillId="0" borderId="0"/>
  </cellStyleXfs>
  <cellXfs count="149">
    <xf numFmtId="0" fontId="0" fillId="0" borderId="0" xfId="0"/>
    <xf numFmtId="0" fontId="13" fillId="0" borderId="0" xfId="8" applyFont="1" applyAlignment="1">
      <alignment wrapText="1"/>
    </xf>
    <xf numFmtId="0" fontId="12" fillId="0" borderId="0" xfId="8" applyAlignment="1">
      <alignment wrapText="1"/>
    </xf>
    <xf numFmtId="0" fontId="12" fillId="0" borderId="0" xfId="8"/>
    <xf numFmtId="164" fontId="12" fillId="0" borderId="0" xfId="8" applyNumberFormat="1"/>
    <xf numFmtId="44" fontId="12" fillId="0" borderId="0" xfId="8" applyNumberFormat="1"/>
    <xf numFmtId="164" fontId="12" fillId="0" borderId="0" xfId="7" applyNumberFormat="1" applyFont="1"/>
    <xf numFmtId="0" fontId="13" fillId="0" borderId="0" xfId="8" applyFont="1"/>
    <xf numFmtId="164" fontId="13" fillId="0" borderId="0" xfId="8" applyNumberFormat="1" applyFont="1"/>
    <xf numFmtId="37" fontId="12" fillId="0" borderId="0" xfId="8" applyNumberFormat="1"/>
    <xf numFmtId="165" fontId="12" fillId="0" borderId="0" xfId="8" applyNumberFormat="1"/>
    <xf numFmtId="164" fontId="13" fillId="0" borderId="0" xfId="7" applyNumberFormat="1" applyFont="1"/>
    <xf numFmtId="165" fontId="13" fillId="0" borderId="0" xfId="8" applyNumberFormat="1" applyFont="1"/>
    <xf numFmtId="166" fontId="12" fillId="0" borderId="0" xfId="8" applyNumberFormat="1"/>
    <xf numFmtId="167" fontId="12" fillId="0" borderId="2" xfId="8" applyNumberFormat="1" applyBorder="1"/>
    <xf numFmtId="0" fontId="12" fillId="0" borderId="2" xfId="8" applyBorder="1"/>
    <xf numFmtId="0" fontId="12" fillId="0" borderId="3" xfId="8" applyBorder="1"/>
    <xf numFmtId="0" fontId="5" fillId="0" borderId="0" xfId="0" applyFont="1"/>
    <xf numFmtId="0" fontId="0" fillId="0" borderId="4" xfId="0" applyBorder="1"/>
    <xf numFmtId="164" fontId="13" fillId="0" borderId="0" xfId="7" applyNumberFormat="1" applyFont="1" applyAlignment="1">
      <alignment wrapText="1"/>
    </xf>
    <xf numFmtId="0" fontId="0" fillId="0" borderId="0" xfId="0" applyAlignment="1">
      <alignment wrapText="1"/>
    </xf>
    <xf numFmtId="0" fontId="13" fillId="2" borderId="4" xfId="8" applyFont="1" applyFill="1" applyBorder="1" applyAlignment="1">
      <alignment wrapText="1"/>
    </xf>
    <xf numFmtId="164" fontId="13" fillId="2" borderId="4" xfId="7" applyNumberFormat="1" applyFont="1" applyFill="1" applyBorder="1" applyAlignment="1">
      <alignment wrapText="1"/>
    </xf>
    <xf numFmtId="164" fontId="13" fillId="0" borderId="4" xfId="7" applyNumberFormat="1" applyFont="1" applyFill="1" applyBorder="1" applyAlignment="1">
      <alignment wrapText="1"/>
    </xf>
    <xf numFmtId="0" fontId="13" fillId="0" borderId="4" xfId="8" applyFont="1" applyFill="1" applyBorder="1" applyAlignment="1">
      <alignment wrapText="1"/>
    </xf>
    <xf numFmtId="164" fontId="15" fillId="0" borderId="4" xfId="7" applyNumberFormat="1" applyFont="1" applyFill="1" applyBorder="1" applyAlignment="1">
      <alignment wrapText="1"/>
    </xf>
    <xf numFmtId="0" fontId="15" fillId="0" borderId="4" xfId="8" applyFont="1" applyFill="1" applyBorder="1" applyAlignment="1">
      <alignment wrapText="1"/>
    </xf>
    <xf numFmtId="0" fontId="12" fillId="0" borderId="4" xfId="8" applyBorder="1"/>
    <xf numFmtId="164" fontId="12" fillId="0" borderId="4" xfId="8" applyNumberFormat="1" applyBorder="1"/>
    <xf numFmtId="3" fontId="13" fillId="0" borderId="4" xfId="7" applyNumberFormat="1" applyFont="1" applyBorder="1"/>
    <xf numFmtId="165" fontId="13" fillId="0" borderId="4" xfId="3" applyNumberFormat="1" applyFont="1" applyBorder="1"/>
    <xf numFmtId="164" fontId="13" fillId="0" borderId="4" xfId="7" applyNumberFormat="1" applyFont="1" applyBorder="1"/>
    <xf numFmtId="164" fontId="13" fillId="0" borderId="4" xfId="8" applyNumberFormat="1" applyFont="1" applyBorder="1"/>
    <xf numFmtId="165" fontId="13" fillId="0" borderId="4" xfId="8" applyNumberFormat="1" applyFont="1" applyBorder="1"/>
    <xf numFmtId="0" fontId="13" fillId="0" borderId="4" xfId="8" applyFont="1" applyBorder="1"/>
    <xf numFmtId="0" fontId="12" fillId="0" borderId="4" xfId="8" applyBorder="1" applyAlignment="1">
      <alignment wrapText="1"/>
    </xf>
    <xf numFmtId="166" fontId="12" fillId="0" borderId="4" xfId="8" applyNumberFormat="1" applyBorder="1"/>
    <xf numFmtId="166" fontId="14" fillId="0" borderId="4" xfId="8" applyNumberFormat="1" applyFont="1" applyBorder="1"/>
    <xf numFmtId="164" fontId="14" fillId="0" borderId="4" xfId="7" applyNumberFormat="1" applyFont="1" applyBorder="1"/>
    <xf numFmtId="0" fontId="6" fillId="0" borderId="0" xfId="0" applyFont="1"/>
    <xf numFmtId="37" fontId="5" fillId="4" borderId="8" xfId="0" applyNumberFormat="1" applyFont="1" applyFill="1" applyBorder="1"/>
    <xf numFmtId="168" fontId="5" fillId="4" borderId="9" xfId="0" applyNumberFormat="1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3" fontId="5" fillId="4" borderId="9" xfId="0" applyNumberFormat="1" applyFont="1" applyFill="1" applyBorder="1"/>
    <xf numFmtId="166" fontId="14" fillId="5" borderId="4" xfId="8" applyNumberFormat="1" applyFont="1" applyFill="1" applyBorder="1"/>
    <xf numFmtId="165" fontId="12" fillId="5" borderId="4" xfId="8" applyNumberFormat="1" applyFill="1" applyBorder="1" applyAlignment="1">
      <alignment wrapText="1"/>
    </xf>
    <xf numFmtId="164" fontId="13" fillId="5" borderId="0" xfId="8" applyNumberFormat="1" applyFont="1" applyFill="1"/>
    <xf numFmtId="44" fontId="12" fillId="5" borderId="0" xfId="8" applyNumberFormat="1" applyFill="1"/>
    <xf numFmtId="0" fontId="12" fillId="5" borderId="0" xfId="8" applyFill="1"/>
    <xf numFmtId="37" fontId="0" fillId="0" borderId="0" xfId="0" applyNumberFormat="1"/>
    <xf numFmtId="3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9" fontId="0" fillId="0" borderId="4" xfId="0" applyNumberFormat="1" applyBorder="1"/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/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right"/>
    </xf>
    <xf numFmtId="169" fontId="0" fillId="0" borderId="11" xfId="0" applyNumberFormat="1" applyBorder="1"/>
    <xf numFmtId="0" fontId="11" fillId="0" borderId="6" xfId="0" applyFont="1" applyBorder="1" applyAlignment="1">
      <alignment horizontal="center" vertical="center" wrapText="1"/>
    </xf>
    <xf numFmtId="169" fontId="0" fillId="0" borderId="0" xfId="0" applyNumberFormat="1" applyBorder="1"/>
    <xf numFmtId="0" fontId="0" fillId="0" borderId="0" xfId="0" applyBorder="1"/>
    <xf numFmtId="169" fontId="0" fillId="0" borderId="7" xfId="0" applyNumberFormat="1" applyBorder="1"/>
    <xf numFmtId="0" fontId="16" fillId="0" borderId="0" xfId="0" applyFont="1"/>
    <xf numFmtId="37" fontId="13" fillId="0" borderId="4" xfId="3" applyNumberFormat="1" applyFont="1" applyBorder="1"/>
    <xf numFmtId="1" fontId="17" fillId="0" borderId="4" xfId="8" applyNumberFormat="1" applyFont="1" applyBorder="1"/>
    <xf numFmtId="1" fontId="15" fillId="0" borderId="4" xfId="7" applyNumberFormat="1" applyFont="1" applyBorder="1"/>
    <xf numFmtId="1" fontId="15" fillId="0" borderId="4" xfId="3" applyNumberFormat="1" applyFont="1" applyBorder="1"/>
    <xf numFmtId="164" fontId="14" fillId="5" borderId="4" xfId="7" applyNumberFormat="1" applyFont="1" applyFill="1" applyBorder="1"/>
    <xf numFmtId="165" fontId="12" fillId="6" borderId="0" xfId="8" applyNumberFormat="1" applyFill="1"/>
    <xf numFmtId="0" fontId="12" fillId="6" borderId="0" xfId="8" applyFill="1"/>
    <xf numFmtId="166" fontId="12" fillId="6" borderId="0" xfId="8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5" fillId="4" borderId="9" xfId="0" applyNumberFormat="1" applyFont="1" applyFill="1" applyBorder="1"/>
    <xf numFmtId="165" fontId="12" fillId="5" borderId="0" xfId="8" applyNumberFormat="1" applyFill="1"/>
    <xf numFmtId="0" fontId="20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2"/>
    </xf>
    <xf numFmtId="168" fontId="22" fillId="0" borderId="16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22" fillId="0" borderId="18" xfId="0" applyFont="1" applyBorder="1" applyAlignment="1">
      <alignment horizontal="center" vertical="center"/>
    </xf>
    <xf numFmtId="168" fontId="22" fillId="0" borderId="18" xfId="0" applyNumberFormat="1" applyFont="1" applyBorder="1" applyAlignment="1">
      <alignment horizontal="center" vertical="center" wrapText="1"/>
    </xf>
    <xf numFmtId="3" fontId="0" fillId="0" borderId="4" xfId="0" applyNumberFormat="1" applyBorder="1"/>
    <xf numFmtId="168" fontId="0" fillId="0" borderId="4" xfId="0" applyNumberForma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8" fontId="12" fillId="0" borderId="4" xfId="8" applyNumberFormat="1" applyBorder="1"/>
    <xf numFmtId="0" fontId="13" fillId="0" borderId="4" xfId="8" applyFont="1" applyBorder="1" applyAlignment="1">
      <alignment wrapText="1"/>
    </xf>
    <xf numFmtId="168" fontId="0" fillId="0" borderId="7" xfId="0" applyNumberFormat="1" applyFill="1" applyBorder="1"/>
    <xf numFmtId="0" fontId="0" fillId="5" borderId="0" xfId="0" applyFill="1" applyAlignment="1">
      <alignment wrapText="1"/>
    </xf>
    <xf numFmtId="0" fontId="1" fillId="5" borderId="0" xfId="8" applyFont="1" applyFill="1"/>
    <xf numFmtId="0" fontId="23" fillId="0" borderId="4" xfId="0" applyFont="1" applyBorder="1" applyAlignment="1">
      <alignment horizontal="center" vertical="center" wrapText="1"/>
    </xf>
    <xf numFmtId="37" fontId="12" fillId="5" borderId="0" xfId="8" applyNumberFormat="1" applyFill="1" applyAlignment="1">
      <alignment wrapText="1"/>
    </xf>
    <xf numFmtId="3" fontId="0" fillId="5" borderId="4" xfId="0" applyNumberFormat="1" applyFill="1" applyBorder="1"/>
    <xf numFmtId="164" fontId="1" fillId="0" borderId="0" xfId="7" applyNumberFormat="1" applyFont="1"/>
    <xf numFmtId="165" fontId="1" fillId="0" borderId="4" xfId="3" applyNumberFormat="1" applyFont="1" applyBorder="1"/>
    <xf numFmtId="37" fontId="1" fillId="0" borderId="4" xfId="3" applyNumberFormat="1" applyFont="1" applyBorder="1"/>
    <xf numFmtId="164" fontId="1" fillId="0" borderId="4" xfId="7" applyNumberFormat="1" applyFont="1" applyBorder="1"/>
    <xf numFmtId="164" fontId="1" fillId="5" borderId="4" xfId="7" applyNumberFormat="1" applyFont="1" applyFill="1" applyBorder="1"/>
    <xf numFmtId="43" fontId="1" fillId="0" borderId="0" xfId="1" applyFont="1"/>
    <xf numFmtId="37" fontId="1" fillId="0" borderId="0" xfId="7" applyNumberFormat="1" applyFont="1"/>
    <xf numFmtId="37" fontId="1" fillId="0" borderId="0" xfId="7" applyNumberFormat="1" applyFont="1" applyAlignment="1">
      <alignment wrapText="1"/>
    </xf>
    <xf numFmtId="37" fontId="1" fillId="6" borderId="0" xfId="7" applyNumberFormat="1" applyFont="1" applyFill="1"/>
    <xf numFmtId="164" fontId="1" fillId="6" borderId="0" xfId="7" applyNumberFormat="1" applyFont="1" applyFill="1"/>
    <xf numFmtId="164" fontId="1" fillId="5" borderId="0" xfId="7" applyNumberFormat="1" applyFont="1" applyFill="1"/>
    <xf numFmtId="164" fontId="1" fillId="0" borderId="2" xfId="7" applyNumberFormat="1" applyFont="1" applyBorder="1"/>
    <xf numFmtId="164" fontId="1" fillId="0" borderId="0" xfId="7" applyNumberFormat="1" applyFont="1" applyAlignment="1">
      <alignment wrapText="1"/>
    </xf>
    <xf numFmtId="164" fontId="1" fillId="0" borderId="0" xfId="8" applyNumberFormat="1" applyFont="1"/>
    <xf numFmtId="168" fontId="0" fillId="5" borderId="4" xfId="0" applyNumberFormat="1" applyFill="1" applyBorder="1"/>
    <xf numFmtId="0" fontId="0" fillId="5" borderId="0" xfId="0" applyFill="1"/>
    <xf numFmtId="0" fontId="13" fillId="5" borderId="1" xfId="8" applyFont="1" applyFill="1" applyBorder="1"/>
    <xf numFmtId="165" fontId="13" fillId="5" borderId="2" xfId="8" applyNumberFormat="1" applyFont="1" applyFill="1" applyBorder="1" applyAlignment="1">
      <alignment wrapText="1"/>
    </xf>
    <xf numFmtId="0" fontId="5" fillId="5" borderId="0" xfId="0" applyFont="1" applyFill="1" applyAlignment="1"/>
    <xf numFmtId="0" fontId="5" fillId="5" borderId="0" xfId="0" applyFont="1" applyFill="1"/>
    <xf numFmtId="169" fontId="0" fillId="5" borderId="4" xfId="0" applyNumberFormat="1" applyFill="1" applyBorder="1"/>
    <xf numFmtId="0" fontId="24" fillId="7" borderId="19" xfId="0" applyFont="1" applyFill="1" applyBorder="1"/>
    <xf numFmtId="0" fontId="0" fillId="0" borderId="0" xfId="0" applyAlignment="1">
      <alignment horizontal="right"/>
    </xf>
    <xf numFmtId="168" fontId="22" fillId="0" borderId="16" xfId="0" applyNumberFormat="1" applyFont="1" applyBorder="1" applyAlignment="1">
      <alignment horizontal="right" vertical="center" wrapText="1"/>
    </xf>
    <xf numFmtId="0" fontId="0" fillId="5" borderId="0" xfId="0" applyNumberFormat="1" applyFill="1"/>
    <xf numFmtId="0" fontId="7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/>
    </xf>
    <xf numFmtId="0" fontId="0" fillId="2" borderId="4" xfId="0" applyFill="1" applyBorder="1" applyAlignment="1"/>
    <xf numFmtId="0" fontId="1" fillId="3" borderId="0" xfId="8" applyFont="1" applyFill="1" applyAlignment="1">
      <alignment vertical="top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0" xfId="5" xr:uid="{00000000-0005-0000-0000-000004000000}"/>
    <cellStyle name="Comma0 2" xfId="6" xr:uid="{00000000-0005-0000-0000-000005000000}"/>
    <cellStyle name="Currency 2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4" xfId="10" xr:uid="{00000000-0005-0000-0000-00000A000000}"/>
  </cellStyles>
  <dxfs count="2">
    <dxf>
      <fill>
        <patternFill>
          <bgColor rgb="FFFFFF00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stack/LOCALS~1/Temp/notesFCBCEE/Summary%20New%20hypo%20list%20based%20on%20NAA%20with%20Kenosha%20chan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R list"/>
      <sheetName val="Marginal success rate"/>
      <sheetName val="Summary"/>
      <sheetName val="65ppb by Class"/>
      <sheetName val="65ppb by State"/>
      <sheetName val="65ppb by NAA_CSA"/>
      <sheetName val="Attain yr"/>
      <sheetName val="NAA_RDV20072009_STD_ALL2"/>
      <sheetName val="Class lookup"/>
      <sheetName val="Missing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B5">
            <v>0</v>
          </cell>
          <cell r="C5" t="str">
            <v>Attainment</v>
          </cell>
        </row>
        <row r="6">
          <cell r="B6">
            <v>6.5000000000000002E-2</v>
          </cell>
          <cell r="C6" t="str">
            <v>Attainment</v>
          </cell>
        </row>
        <row r="7">
          <cell r="B7">
            <v>6.5009999999999998E-2</v>
          </cell>
          <cell r="C7" t="str">
            <v>Marginal</v>
          </cell>
        </row>
        <row r="8">
          <cell r="B8">
            <v>6.6000000000000003E-2</v>
          </cell>
          <cell r="C8" t="str">
            <v>Marginal</v>
          </cell>
        </row>
        <row r="9">
          <cell r="B9">
            <v>6.7000000000000004E-2</v>
          </cell>
          <cell r="C9" t="str">
            <v>Marginal</v>
          </cell>
        </row>
        <row r="10">
          <cell r="B10">
            <v>6.8000000000000005E-2</v>
          </cell>
          <cell r="C10" t="str">
            <v>Marginal</v>
          </cell>
        </row>
        <row r="11">
          <cell r="B11">
            <v>6.9000000000000006E-2</v>
          </cell>
          <cell r="C11" t="str">
            <v>Marginal</v>
          </cell>
        </row>
        <row r="12">
          <cell r="B12">
            <v>7.0000000000000007E-2</v>
          </cell>
          <cell r="C12" t="str">
            <v>Marginal</v>
          </cell>
        </row>
        <row r="13">
          <cell r="B13">
            <v>7.0999999999999994E-2</v>
          </cell>
          <cell r="C13" t="str">
            <v>Marginal</v>
          </cell>
        </row>
        <row r="14">
          <cell r="B14">
            <v>7.1999999999999995E-2</v>
          </cell>
          <cell r="C14" t="str">
            <v>Marginal</v>
          </cell>
        </row>
        <row r="15">
          <cell r="B15">
            <v>7.2999999999999995E-2</v>
          </cell>
          <cell r="C15" t="str">
            <v>Marginal</v>
          </cell>
        </row>
        <row r="16">
          <cell r="B16">
            <v>7.3999999999999996E-2</v>
          </cell>
          <cell r="C16" t="str">
            <v>Marginal</v>
          </cell>
        </row>
        <row r="17">
          <cell r="B17">
            <v>7.4999999999999997E-2</v>
          </cell>
          <cell r="C17" t="str">
            <v>Moderate</v>
          </cell>
        </row>
        <row r="18">
          <cell r="B18">
            <v>7.5999999999999998E-2</v>
          </cell>
          <cell r="C18" t="str">
            <v>Moderate</v>
          </cell>
        </row>
        <row r="19">
          <cell r="B19">
            <v>7.6999999999999999E-2</v>
          </cell>
          <cell r="C19" t="str">
            <v>Moderate</v>
          </cell>
        </row>
        <row r="20">
          <cell r="B20">
            <v>7.8E-2</v>
          </cell>
          <cell r="C20" t="str">
            <v>Moderate</v>
          </cell>
        </row>
        <row r="21">
          <cell r="B21">
            <v>7.9000000000000001E-2</v>
          </cell>
          <cell r="C21" t="str">
            <v>Moderate</v>
          </cell>
        </row>
        <row r="22">
          <cell r="B22">
            <v>0.08</v>
          </cell>
          <cell r="C22" t="str">
            <v>Moderate</v>
          </cell>
        </row>
        <row r="23">
          <cell r="B23">
            <v>8.1000000000000003E-2</v>
          </cell>
          <cell r="C23" t="str">
            <v>Moderate</v>
          </cell>
        </row>
        <row r="24">
          <cell r="B24">
            <v>8.2000000000000003E-2</v>
          </cell>
          <cell r="C24" t="str">
            <v>Moderate</v>
          </cell>
        </row>
        <row r="25">
          <cell r="B25">
            <v>8.3000000000000004E-2</v>
          </cell>
          <cell r="C25" t="str">
            <v>Moderate</v>
          </cell>
        </row>
        <row r="26">
          <cell r="B26">
            <v>8.4000000000000005E-2</v>
          </cell>
          <cell r="C26" t="str">
            <v>Moderate</v>
          </cell>
        </row>
        <row r="27">
          <cell r="B27">
            <v>8.5000000000000006E-2</v>
          </cell>
          <cell r="C27" t="str">
            <v>Moderate</v>
          </cell>
        </row>
        <row r="28">
          <cell r="B28">
            <v>8.5999999999999993E-2</v>
          </cell>
          <cell r="C28" t="str">
            <v>Moderate</v>
          </cell>
        </row>
        <row r="29">
          <cell r="B29">
            <v>8.6999999999999994E-2</v>
          </cell>
          <cell r="C29" t="str">
            <v>Serious</v>
          </cell>
        </row>
        <row r="30">
          <cell r="B30">
            <v>8.7999999999999995E-2</v>
          </cell>
          <cell r="C30" t="str">
            <v>Serious</v>
          </cell>
        </row>
        <row r="31">
          <cell r="B31">
            <v>8.8999999999999996E-2</v>
          </cell>
          <cell r="C31" t="str">
            <v>Serious</v>
          </cell>
        </row>
        <row r="32">
          <cell r="B32">
            <v>0.09</v>
          </cell>
          <cell r="C32" t="str">
            <v>Serious</v>
          </cell>
        </row>
        <row r="33">
          <cell r="B33">
            <v>9.0999999999999998E-2</v>
          </cell>
          <cell r="C33" t="str">
            <v>Serious</v>
          </cell>
        </row>
        <row r="34">
          <cell r="B34">
            <v>9.1999999999999998E-2</v>
          </cell>
          <cell r="C34" t="str">
            <v>Serious</v>
          </cell>
        </row>
        <row r="35">
          <cell r="B35">
            <v>9.2999999999999999E-2</v>
          </cell>
          <cell r="C35" t="str">
            <v>Serious</v>
          </cell>
        </row>
        <row r="36">
          <cell r="B36">
            <v>9.4E-2</v>
          </cell>
          <cell r="C36" t="str">
            <v>Serious</v>
          </cell>
        </row>
        <row r="37">
          <cell r="B37">
            <v>9.5000000000000001E-2</v>
          </cell>
          <cell r="C37" t="str">
            <v>Serious</v>
          </cell>
        </row>
        <row r="38">
          <cell r="B38">
            <v>9.6000000000000002E-2</v>
          </cell>
          <cell r="C38" t="str">
            <v>Serious</v>
          </cell>
        </row>
        <row r="39">
          <cell r="B39">
            <v>9.7000000000000003E-2</v>
          </cell>
          <cell r="C39" t="str">
            <v>Serious</v>
          </cell>
        </row>
        <row r="40">
          <cell r="B40">
            <v>9.8000000000000004E-2</v>
          </cell>
          <cell r="C40" t="str">
            <v>Severe-15</v>
          </cell>
        </row>
        <row r="41">
          <cell r="B41">
            <v>9.9000000000000005E-2</v>
          </cell>
          <cell r="C41" t="str">
            <v>Severe-15</v>
          </cell>
        </row>
        <row r="42">
          <cell r="B42">
            <v>0.1</v>
          </cell>
          <cell r="C42" t="str">
            <v>Severe-15</v>
          </cell>
        </row>
        <row r="43">
          <cell r="B43">
            <v>0.10100000000000001</v>
          </cell>
          <cell r="C43" t="str">
            <v>Severe-15</v>
          </cell>
        </row>
        <row r="44">
          <cell r="B44">
            <v>0.10199999999999999</v>
          </cell>
          <cell r="C44" t="str">
            <v>Severe-15</v>
          </cell>
        </row>
        <row r="45">
          <cell r="B45">
            <v>0.10299999999999999</v>
          </cell>
          <cell r="C45" t="str">
            <v>Severe-17</v>
          </cell>
        </row>
        <row r="46">
          <cell r="B46">
            <v>0.104</v>
          </cell>
          <cell r="C46" t="str">
            <v>Severe-17</v>
          </cell>
        </row>
        <row r="47">
          <cell r="B47">
            <v>0.105</v>
          </cell>
          <cell r="C47" t="str">
            <v>Severe-17</v>
          </cell>
        </row>
        <row r="48">
          <cell r="B48">
            <v>0.106</v>
          </cell>
          <cell r="C48" t="str">
            <v>Severe-17</v>
          </cell>
        </row>
        <row r="49">
          <cell r="B49">
            <v>0.107</v>
          </cell>
          <cell r="C49" t="str">
            <v>Severe-17</v>
          </cell>
        </row>
        <row r="50">
          <cell r="B50">
            <v>0.108</v>
          </cell>
          <cell r="C50" t="str">
            <v>Severe-17</v>
          </cell>
        </row>
        <row r="51">
          <cell r="B51">
            <v>0.109</v>
          </cell>
          <cell r="C51" t="str">
            <v>Severe-17</v>
          </cell>
        </row>
        <row r="52">
          <cell r="B52">
            <v>0.11</v>
          </cell>
          <cell r="C52" t="str">
            <v>Severe-17</v>
          </cell>
        </row>
        <row r="53">
          <cell r="B53">
            <v>0.111</v>
          </cell>
          <cell r="C53" t="str">
            <v>Severe-17</v>
          </cell>
        </row>
        <row r="54">
          <cell r="B54">
            <v>0.112</v>
          </cell>
          <cell r="C54" t="str">
            <v>Severe-17</v>
          </cell>
        </row>
        <row r="55">
          <cell r="B55">
            <v>0.113</v>
          </cell>
          <cell r="C55" t="str">
            <v>Severe-17</v>
          </cell>
        </row>
        <row r="56">
          <cell r="B56">
            <v>0.114</v>
          </cell>
          <cell r="C56" t="str">
            <v>Severe-17</v>
          </cell>
        </row>
        <row r="57">
          <cell r="B57">
            <v>0.115</v>
          </cell>
          <cell r="C57" t="str">
            <v>Severe-17</v>
          </cell>
        </row>
        <row r="58">
          <cell r="B58">
            <v>0.11600000000000001</v>
          </cell>
          <cell r="C58" t="str">
            <v>Severe-17</v>
          </cell>
        </row>
        <row r="59">
          <cell r="B59">
            <v>0.11700000000000001</v>
          </cell>
          <cell r="C59" t="str">
            <v>Severe-17</v>
          </cell>
        </row>
        <row r="60">
          <cell r="B60">
            <v>0.11799999999999999</v>
          </cell>
          <cell r="C60" t="str">
            <v>Severe-17</v>
          </cell>
        </row>
        <row r="61">
          <cell r="B61">
            <v>0.11899999999999999</v>
          </cell>
          <cell r="C61" t="str">
            <v>Severe-17</v>
          </cell>
        </row>
        <row r="62">
          <cell r="B62">
            <v>0.12</v>
          </cell>
          <cell r="C62" t="str">
            <v>Severe-17</v>
          </cell>
        </row>
        <row r="63">
          <cell r="B63">
            <v>0.121</v>
          </cell>
          <cell r="C63" t="str">
            <v>Severe-17</v>
          </cell>
        </row>
        <row r="64">
          <cell r="B64">
            <v>0.122</v>
          </cell>
          <cell r="C64" t="str">
            <v>Severe-17</v>
          </cell>
        </row>
        <row r="65">
          <cell r="B65">
            <v>0.123</v>
          </cell>
          <cell r="C65" t="str">
            <v>Severe-17</v>
          </cell>
        </row>
        <row r="66">
          <cell r="B66">
            <v>0.124</v>
          </cell>
          <cell r="C66" t="str">
            <v>Severe-17</v>
          </cell>
        </row>
        <row r="67">
          <cell r="B67">
            <v>0.125</v>
          </cell>
          <cell r="C67" t="str">
            <v>Severe-17</v>
          </cell>
        </row>
        <row r="68">
          <cell r="B68">
            <v>0.126</v>
          </cell>
          <cell r="C68" t="str">
            <v>Severe-17</v>
          </cell>
        </row>
        <row r="69">
          <cell r="B69">
            <v>0.127</v>
          </cell>
          <cell r="C69" t="str">
            <v>Severe-17</v>
          </cell>
        </row>
        <row r="70">
          <cell r="B70">
            <v>0.128</v>
          </cell>
          <cell r="C70" t="str">
            <v>Severe-17</v>
          </cell>
        </row>
        <row r="71">
          <cell r="B71">
            <v>0.129</v>
          </cell>
          <cell r="C71" t="str">
            <v>Severe-17</v>
          </cell>
        </row>
        <row r="72">
          <cell r="B72">
            <v>0.13</v>
          </cell>
          <cell r="C72" t="str">
            <v>Severe-17</v>
          </cell>
        </row>
        <row r="73">
          <cell r="B73">
            <v>0.13100000000000001</v>
          </cell>
          <cell r="C73" t="str">
            <v>Severe-17</v>
          </cell>
        </row>
        <row r="74">
          <cell r="B74">
            <v>0.13200000000000001</v>
          </cell>
          <cell r="C74" t="str">
            <v>Severe-17</v>
          </cell>
        </row>
        <row r="75">
          <cell r="B75">
            <v>0.13300000000000001</v>
          </cell>
          <cell r="C75" t="str">
            <v>Severe-17</v>
          </cell>
        </row>
        <row r="76">
          <cell r="B76">
            <v>0.13400000000000001</v>
          </cell>
          <cell r="C76" t="str">
            <v>Severe-17</v>
          </cell>
        </row>
        <row r="77">
          <cell r="B77">
            <v>0.13500000000000001</v>
          </cell>
          <cell r="C77" t="str">
            <v>Severe-17</v>
          </cell>
        </row>
        <row r="78">
          <cell r="B78">
            <v>0.13600000000000001</v>
          </cell>
          <cell r="C78" t="str">
            <v>Severe-17</v>
          </cell>
        </row>
        <row r="79">
          <cell r="B79">
            <v>0.13700000000000001</v>
          </cell>
          <cell r="C79" t="str">
            <v>Severe-17</v>
          </cell>
        </row>
        <row r="80">
          <cell r="B80">
            <v>0.13800000000000001</v>
          </cell>
          <cell r="C80" t="str">
            <v>Severe-17</v>
          </cell>
        </row>
        <row r="81">
          <cell r="B81">
            <v>0.13900000000000001</v>
          </cell>
          <cell r="C81" t="str">
            <v>Severe-17</v>
          </cell>
        </row>
        <row r="82">
          <cell r="B82">
            <v>0.14000000000000001</v>
          </cell>
          <cell r="C82" t="str">
            <v>Severe-17</v>
          </cell>
        </row>
        <row r="83">
          <cell r="B83">
            <v>0.14099999999999999</v>
          </cell>
          <cell r="C83" t="str">
            <v>Severe-17</v>
          </cell>
        </row>
        <row r="84">
          <cell r="B84">
            <v>0.14199999999999999</v>
          </cell>
          <cell r="C84" t="str">
            <v>Severe-17</v>
          </cell>
        </row>
        <row r="85">
          <cell r="B85">
            <v>0.14299999999999999</v>
          </cell>
          <cell r="C85" t="str">
            <v>Severe-17</v>
          </cell>
        </row>
        <row r="86">
          <cell r="B86">
            <v>0.14399999999999999</v>
          </cell>
          <cell r="C86" t="str">
            <v>Severe-17</v>
          </cell>
        </row>
        <row r="87">
          <cell r="B87">
            <v>0.14499999999999999</v>
          </cell>
          <cell r="C87" t="str">
            <v>Severe-17</v>
          </cell>
        </row>
        <row r="88">
          <cell r="B88">
            <v>0.14599999999999999</v>
          </cell>
          <cell r="C88" t="str">
            <v>Severe-17</v>
          </cell>
        </row>
        <row r="89">
          <cell r="B89">
            <v>0.14699999999999999</v>
          </cell>
          <cell r="C89" t="str">
            <v>Severe-17</v>
          </cell>
        </row>
        <row r="90">
          <cell r="B90">
            <v>0.14799999999999999</v>
          </cell>
          <cell r="C90" t="str">
            <v>Severe-17</v>
          </cell>
        </row>
        <row r="91">
          <cell r="B91">
            <v>0.14899999999999999</v>
          </cell>
          <cell r="C91" t="str">
            <v>Severe-17</v>
          </cell>
        </row>
        <row r="92">
          <cell r="B92">
            <v>0.15</v>
          </cell>
          <cell r="C92" t="str">
            <v>Severe-17</v>
          </cell>
        </row>
        <row r="93">
          <cell r="B93">
            <v>0.151</v>
          </cell>
          <cell r="C93" t="str">
            <v>Severe-17</v>
          </cell>
        </row>
        <row r="94">
          <cell r="B94">
            <v>0.152</v>
          </cell>
          <cell r="C94" t="str">
            <v>Extreme</v>
          </cell>
        </row>
        <row r="95">
          <cell r="B95">
            <v>0.153</v>
          </cell>
          <cell r="C95" t="str">
            <v>Extreme</v>
          </cell>
        </row>
        <row r="96">
          <cell r="B96">
            <v>0.154</v>
          </cell>
          <cell r="C96" t="str">
            <v>Extreme</v>
          </cell>
        </row>
        <row r="97">
          <cell r="B97">
            <v>0.155</v>
          </cell>
          <cell r="C97" t="str">
            <v>Extreme</v>
          </cell>
        </row>
        <row r="98">
          <cell r="B98">
            <v>0.156</v>
          </cell>
          <cell r="C98" t="str">
            <v>Extreme</v>
          </cell>
        </row>
        <row r="99">
          <cell r="B99">
            <v>0.157</v>
          </cell>
          <cell r="C99" t="str">
            <v>Extreme</v>
          </cell>
        </row>
        <row r="100">
          <cell r="B100">
            <v>0.158</v>
          </cell>
          <cell r="C100" t="str">
            <v>Extreme</v>
          </cell>
        </row>
        <row r="101">
          <cell r="B101">
            <v>0.159</v>
          </cell>
          <cell r="C101" t="str">
            <v>Extreme</v>
          </cell>
        </row>
        <row r="102">
          <cell r="B102">
            <v>0.16</v>
          </cell>
          <cell r="C102" t="str">
            <v>Extreme</v>
          </cell>
        </row>
        <row r="103">
          <cell r="B103">
            <v>0.161</v>
          </cell>
          <cell r="C103" t="str">
            <v>Extreme</v>
          </cell>
        </row>
        <row r="104">
          <cell r="B104">
            <v>0.16200000000000001</v>
          </cell>
          <cell r="C104" t="str">
            <v>Extreme</v>
          </cell>
        </row>
        <row r="105">
          <cell r="B105">
            <v>0.16300000000000001</v>
          </cell>
          <cell r="C105" t="str">
            <v>Extreme</v>
          </cell>
        </row>
        <row r="106">
          <cell r="B106">
            <v>0.16400000000000001</v>
          </cell>
          <cell r="C106" t="str">
            <v>Extreme</v>
          </cell>
        </row>
        <row r="107">
          <cell r="B107">
            <v>0.16500000000000001</v>
          </cell>
          <cell r="C107" t="str">
            <v>Extreme</v>
          </cell>
        </row>
        <row r="108">
          <cell r="B108">
            <v>0.16600000000000001</v>
          </cell>
          <cell r="C108" t="str">
            <v>Extreme</v>
          </cell>
        </row>
        <row r="109">
          <cell r="B109">
            <v>0.16700000000000001</v>
          </cell>
          <cell r="C109" t="str">
            <v>Extreme</v>
          </cell>
        </row>
        <row r="110">
          <cell r="B110">
            <v>0.16800000000000001</v>
          </cell>
          <cell r="C110" t="str">
            <v>Extreme</v>
          </cell>
        </row>
        <row r="111">
          <cell r="B111">
            <v>0.16900000000000001</v>
          </cell>
          <cell r="C111" t="str">
            <v>Extreme</v>
          </cell>
        </row>
        <row r="112">
          <cell r="B112">
            <v>0.17</v>
          </cell>
          <cell r="C112" t="str">
            <v>Extreme</v>
          </cell>
        </row>
        <row r="113">
          <cell r="B113">
            <v>0.17100000000000001</v>
          </cell>
          <cell r="C113" t="str">
            <v>Extreme</v>
          </cell>
        </row>
        <row r="114">
          <cell r="B114">
            <v>0.17199999999999999</v>
          </cell>
          <cell r="C114" t="str">
            <v>Extreme</v>
          </cell>
        </row>
        <row r="115">
          <cell r="B115">
            <v>0.17299999999999999</v>
          </cell>
          <cell r="C115" t="str">
            <v>Extreme</v>
          </cell>
        </row>
        <row r="116">
          <cell r="B116">
            <v>0.17399999999999999</v>
          </cell>
          <cell r="C116" t="str">
            <v>Extreme</v>
          </cell>
        </row>
        <row r="117">
          <cell r="B117">
            <v>0.17499999999999999</v>
          </cell>
          <cell r="C117" t="str">
            <v>Extreme</v>
          </cell>
        </row>
        <row r="118">
          <cell r="B118">
            <v>0.17599999999999999</v>
          </cell>
          <cell r="C118" t="str">
            <v>Extreme</v>
          </cell>
        </row>
        <row r="119">
          <cell r="B119">
            <v>0.17699999999999999</v>
          </cell>
          <cell r="C119" t="str">
            <v>Extreme</v>
          </cell>
        </row>
        <row r="120">
          <cell r="B120">
            <v>0.17799999999999999</v>
          </cell>
          <cell r="C120" t="str">
            <v>Extreme</v>
          </cell>
        </row>
        <row r="121">
          <cell r="B121">
            <v>0.17899999999999999</v>
          </cell>
          <cell r="C121" t="str">
            <v>Extreme</v>
          </cell>
        </row>
        <row r="122">
          <cell r="B122">
            <v>0.18</v>
          </cell>
          <cell r="C122" t="str">
            <v>Extreme</v>
          </cell>
        </row>
        <row r="123">
          <cell r="B123">
            <v>0.18099999999999999</v>
          </cell>
          <cell r="C123" t="str">
            <v>Extreme</v>
          </cell>
        </row>
        <row r="124">
          <cell r="B124">
            <v>0.182</v>
          </cell>
          <cell r="C124" t="str">
            <v>Extreme</v>
          </cell>
        </row>
        <row r="125">
          <cell r="B125">
            <v>0.183</v>
          </cell>
          <cell r="C125" t="str">
            <v>Extreme</v>
          </cell>
        </row>
        <row r="126">
          <cell r="B126">
            <v>0.184</v>
          </cell>
          <cell r="C126" t="str">
            <v>Extreme</v>
          </cell>
        </row>
        <row r="127">
          <cell r="B127">
            <v>0.185</v>
          </cell>
          <cell r="C127" t="str">
            <v>Extreme</v>
          </cell>
        </row>
        <row r="128">
          <cell r="B128">
            <v>0.186</v>
          </cell>
          <cell r="C128" t="str">
            <v>Extreme</v>
          </cell>
        </row>
        <row r="129">
          <cell r="B129">
            <v>0.187</v>
          </cell>
          <cell r="C129" t="str">
            <v>Extreme</v>
          </cell>
        </row>
        <row r="130">
          <cell r="B130">
            <v>0.188</v>
          </cell>
          <cell r="C130" t="str">
            <v>Extreme</v>
          </cell>
        </row>
        <row r="131">
          <cell r="B131">
            <v>0.189</v>
          </cell>
          <cell r="C131" t="str">
            <v>Extreme</v>
          </cell>
        </row>
        <row r="132">
          <cell r="B132">
            <v>0.19</v>
          </cell>
          <cell r="C132" t="str">
            <v>Extreme</v>
          </cell>
        </row>
        <row r="133">
          <cell r="B133">
            <v>0.191</v>
          </cell>
          <cell r="C133" t="str">
            <v>Extreme</v>
          </cell>
        </row>
        <row r="134">
          <cell r="B134">
            <v>0.192</v>
          </cell>
          <cell r="C134" t="str">
            <v>Extreme</v>
          </cell>
        </row>
        <row r="135">
          <cell r="B135">
            <v>0.193</v>
          </cell>
          <cell r="C135" t="str">
            <v>Extreme</v>
          </cell>
        </row>
        <row r="136">
          <cell r="B136">
            <v>0.19400000000000001</v>
          </cell>
          <cell r="C136" t="str">
            <v>Extreme</v>
          </cell>
        </row>
        <row r="137">
          <cell r="B137">
            <v>0.19500000000000001</v>
          </cell>
          <cell r="C137" t="str">
            <v>Extreme</v>
          </cell>
        </row>
        <row r="138">
          <cell r="B138">
            <v>0.19600000000000001</v>
          </cell>
          <cell r="C138" t="str">
            <v>Extreme</v>
          </cell>
        </row>
        <row r="139">
          <cell r="B139">
            <v>0.19700000000000001</v>
          </cell>
          <cell r="C139" t="str">
            <v>Extreme</v>
          </cell>
        </row>
        <row r="140">
          <cell r="B140">
            <v>0.19800000000000001</v>
          </cell>
          <cell r="C140" t="str">
            <v>Extreme</v>
          </cell>
        </row>
        <row r="141">
          <cell r="B141">
            <v>0.19900000000000001</v>
          </cell>
          <cell r="C141" t="str">
            <v>Extreme</v>
          </cell>
        </row>
        <row r="142">
          <cell r="B142">
            <v>0.2</v>
          </cell>
          <cell r="C142" t="str">
            <v>Extreme</v>
          </cell>
        </row>
      </sheetData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rrington, Leigh" refreshedDate="45145.716479050927" createdVersion="6" refreshedVersion="8" minRefreshableVersion="3" recordCount="12" xr:uid="{C1665C34-0852-4A28-B0BD-AF0DE61350EE}">
  <cacheSource type="worksheet">
    <worksheetSource ref="A6:F18" sheet="PM25By Region"/>
  </cacheSource>
  <cacheFields count="6">
    <cacheField name="Nonattainment Area for  PM2.5 NAAQS" numFmtId="0">
      <sharedItems/>
    </cacheField>
    <cacheField name="State" numFmtId="0">
      <sharedItems/>
    </cacheField>
    <cacheField name="EPA Region " numFmtId="0">
      <sharedItems containsSemiMixedTypes="0" containsString="0" containsNumber="1" containsInteger="1" minValue="3" maxValue="10" count="4">
        <n v="10"/>
        <n v="9"/>
        <n v="3"/>
        <n v="8"/>
      </sharedItems>
    </cacheField>
    <cacheField name="Potential Actions during ICR period 2/1/2024-1/31/2027" numFmtId="0">
      <sharedItems/>
    </cacheField>
    <cacheField name="3-year Burden Estimate (Hours)" numFmtId="0">
      <sharedItems containsSemiMixedTypes="0" containsString="0" containsNumber="1" containsInteger="1" minValue="300" maxValue="18300"/>
    </cacheField>
    <cacheField name="3-year Burden Estimate (2023 Dollars)" numFmtId="168">
      <sharedItems containsSemiMixedTypes="0" containsString="0" containsNumber="1" containsInteger="1" minValue="24105" maxValue="14704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rrington, Leigh" refreshedDate="45145.716479282404" createdVersion="6" refreshedVersion="8" minRefreshableVersion="3" recordCount="12" xr:uid="{6904B4BE-E017-41CA-8057-BC960BB90E63}">
  <cacheSource type="worksheet">
    <worksheetSource ref="A6:F18" sheet="pm25annual"/>
  </cacheSource>
  <cacheFields count="6">
    <cacheField name="Nonattainment Area for  PM2.5 NAAQS" numFmtId="0">
      <sharedItems/>
    </cacheField>
    <cacheField name="State" numFmtId="0">
      <sharedItems count="8">
        <s v="AK"/>
        <s v="AZ"/>
        <s v="CA"/>
        <s v="OR"/>
        <s v="PA"/>
        <s v="UT"/>
        <s v="ID" u="1"/>
        <s v="MT" u="1"/>
      </sharedItems>
    </cacheField>
    <cacheField name="EPA Region " numFmtId="0">
      <sharedItems containsSemiMixedTypes="0" containsString="0" containsNumber="1" containsInteger="1" minValue="3" maxValue="10"/>
    </cacheField>
    <cacheField name="Potential Actions during ICR period 02/2024-01/2027" numFmtId="0">
      <sharedItems/>
    </cacheField>
    <cacheField name="3-year Burden Estimate (Hours)" numFmtId="0">
      <sharedItems containsSemiMixedTypes="0" containsString="0" containsNumber="1" containsInteger="1" minValue="300" maxValue="18300"/>
    </cacheField>
    <cacheField name="3-year Burden Estimate (2023 Dollars)" numFmtId="168">
      <sharedItems containsSemiMixedTypes="0" containsString="0" containsNumber="1" containsInteger="1" minValue="24105" maxValue="14704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Fairbanks"/>
    <s v="AK"/>
    <x v="0"/>
    <s v="2006 189(d) SIP Revision "/>
    <n v="18000"/>
    <n v="1446300"/>
  </r>
  <r>
    <s v="West Central Pinal"/>
    <s v="AZ"/>
    <x v="1"/>
    <s v="2006 Maintenance Plan"/>
    <n v="300"/>
    <n v="24105"/>
  </r>
  <r>
    <s v="Imperial"/>
    <s v="CA"/>
    <x v="1"/>
    <s v="2006 Maintenance Plan"/>
    <n v="300"/>
    <n v="24105"/>
  </r>
  <r>
    <s v="Los Angeles-South Coast Air Basin"/>
    <s v="CA"/>
    <x v="1"/>
    <s v="2006/2012 SIP Revisions ; 1997 Maintenance Plan"/>
    <n v="18300"/>
    <n v="1470405"/>
  </r>
  <r>
    <s v="Plumas  County"/>
    <s v="CA"/>
    <x v="1"/>
    <s v="2012 SIP Revision"/>
    <n v="18000"/>
    <n v="1446300"/>
  </r>
  <r>
    <s v="Sacramento"/>
    <s v="CA"/>
    <x v="1"/>
    <s v="2006 Maintenance Plan"/>
    <n v="300"/>
    <n v="24105"/>
  </r>
  <r>
    <s v="San Francisco"/>
    <s v="CA"/>
    <x v="1"/>
    <s v="2006 Maintenance Plan"/>
    <n v="300"/>
    <n v="24105"/>
  </r>
  <r>
    <s v="San Joaquin Valley"/>
    <s v="CA"/>
    <x v="1"/>
    <s v="1997/2006/2012 SIP Revisions "/>
    <n v="18000"/>
    <n v="1446300"/>
  </r>
  <r>
    <s v="Klamath Falls"/>
    <s v="OR"/>
    <x v="0"/>
    <s v="2006 Maintenance Plan"/>
    <n v="300"/>
    <n v="24105"/>
  </r>
  <r>
    <s v="Allegheny"/>
    <s v="PA"/>
    <x v="2"/>
    <s v="1997/2006/2012Maintenance Plan"/>
    <n v="300"/>
    <n v="24105"/>
  </r>
  <r>
    <s v="Provo"/>
    <s v="UT"/>
    <x v="3"/>
    <s v="2006 Maintenance Plan"/>
    <n v="300"/>
    <n v="24105"/>
  </r>
  <r>
    <s v="Salt Lake City"/>
    <s v="UT"/>
    <x v="3"/>
    <s v="2006 Maintenance Plan"/>
    <n v="300"/>
    <n v="241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Fairbanks"/>
    <x v="0"/>
    <n v="10"/>
    <s v="2006 189(d) SIP Revision "/>
    <n v="18000"/>
    <n v="1446300"/>
  </r>
  <r>
    <s v="West Central Pinal"/>
    <x v="1"/>
    <n v="9"/>
    <s v="2006 Maintenance Plan"/>
    <n v="300"/>
    <n v="24105"/>
  </r>
  <r>
    <s v="Imperial"/>
    <x v="2"/>
    <n v="9"/>
    <s v="2006/2012 Maintenance Plan"/>
    <n v="300"/>
    <n v="24105"/>
  </r>
  <r>
    <s v="Los Angeles-South Coast Air Basin"/>
    <x v="2"/>
    <n v="9"/>
    <s v="2006/2012 SIP Revisions; 1997 Maintenance Plan"/>
    <n v="18300"/>
    <n v="1470405"/>
  </r>
  <r>
    <s v="Plumas  County"/>
    <x v="2"/>
    <n v="9"/>
    <s v="2012 Serious SIP Revision"/>
    <n v="18000"/>
    <n v="1446300"/>
  </r>
  <r>
    <s v="Sacramento"/>
    <x v="2"/>
    <n v="9"/>
    <s v="2006 Maintenance Plan"/>
    <n v="300"/>
    <n v="24105"/>
  </r>
  <r>
    <s v="San Francisco"/>
    <x v="2"/>
    <n v="9"/>
    <s v="2006 Maintenance Plan"/>
    <n v="300"/>
    <n v="24105"/>
  </r>
  <r>
    <s v="San Joaquin Valley"/>
    <x v="2"/>
    <n v="9"/>
    <s v="1997/2006/2012 SIP Revisions "/>
    <n v="18000"/>
    <n v="1446300"/>
  </r>
  <r>
    <s v="Klamath Falls"/>
    <x v="3"/>
    <n v="10"/>
    <s v="2006 Maintenance Plan"/>
    <n v="300"/>
    <n v="24105"/>
  </r>
  <r>
    <s v="Allegheny"/>
    <x v="4"/>
    <n v="3"/>
    <s v="1997/2006/2012 Maintenance Plan"/>
    <n v="300"/>
    <n v="24105"/>
  </r>
  <r>
    <s v="Provo"/>
    <x v="5"/>
    <n v="8"/>
    <s v="2006 Maintenance Plan"/>
    <n v="300"/>
    <n v="24105"/>
  </r>
  <r>
    <s v="Salt Lake City"/>
    <x v="5"/>
    <n v="8"/>
    <s v="2006 Maintenance Plan"/>
    <n v="300"/>
    <n v="24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4FD3CA-E36C-4593-B9B8-677AB04546D0}" name="PivotTable3" cacheId="1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6" indent="0" outline="1" outlineData="1" multipleFieldFilters="0">
  <location ref="A3:D10" firstHeaderRow="0" firstDataRow="1" firstDataCol="1"/>
  <pivotFields count="6">
    <pivotField dataField="1" showAll="0"/>
    <pivotField axis="axisRow" showAll="0">
      <items count="9">
        <item x="0"/>
        <item x="1"/>
        <item x="2"/>
        <item m="1" x="6"/>
        <item m="1" x="7"/>
        <item x="3"/>
        <item x="4"/>
        <item x="5"/>
        <item t="default"/>
      </items>
    </pivotField>
    <pivotField dataField="1" showAll="0"/>
    <pivotField showAll="0"/>
    <pivotField dataField="1" showAll="0"/>
    <pivotField numFmtId="168" showAll="0"/>
  </pivotFields>
  <rowFields count="1">
    <field x="1"/>
  </rowFields>
  <rowItems count="7">
    <i>
      <x/>
    </i>
    <i>
      <x v="1"/>
    </i>
    <i>
      <x v="2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ax of EPA Region " fld="2" subtotal="max" baseField="1" baseItem="0"/>
    <dataField name="Count of Nonattainment Area for  PM2.5 NAAQS" fld="0" subtotal="count" baseField="0" baseItem="0"/>
    <dataField name="Sum of 3-year Burden Estimate (Hours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BE4D66-6F5E-4026-8E0B-0DBB09FA38E4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8" firstHeaderRow="1" firstDataRow="1" firstDataCol="1"/>
  <pivotFields count="6">
    <pivotField showAll="0"/>
    <pivotField showAll="0"/>
    <pivotField axis="axisRow" showAll="0">
      <items count="5">
        <item x="2"/>
        <item x="3"/>
        <item x="1"/>
        <item x="0"/>
        <item t="default"/>
      </items>
    </pivotField>
    <pivotField showAll="0"/>
    <pivotField dataField="1" showAll="0"/>
    <pivotField numFmtId="168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3-year Burden Estimate (Hours)" fld="4" baseField="0" baseItem="0"/>
  </dataFields>
  <formats count="2"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D01E-2100-4D38-BB54-EDB9DCB3D851}">
  <sheetPr>
    <pageSetUpPr fitToPage="1"/>
  </sheetPr>
  <dimension ref="A5:S20"/>
  <sheetViews>
    <sheetView topLeftCell="A5" workbookViewId="0">
      <selection activeCell="G10" sqref="G10"/>
    </sheetView>
  </sheetViews>
  <sheetFormatPr defaultRowHeight="12.5" x14ac:dyDescent="0.25"/>
  <cols>
    <col min="3" max="3" width="11.1796875" bestFit="1" customWidth="1"/>
  </cols>
  <sheetData>
    <row r="5" spans="1:19" s="20" customFormat="1" ht="108.75" customHeight="1" x14ac:dyDescent="0.25">
      <c r="A5" s="134" t="s">
        <v>219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19" ht="14.5" x14ac:dyDescent="0.35">
      <c r="A6" s="39"/>
    </row>
    <row r="13" spans="1:19" ht="13" thickBot="1" x14ac:dyDescent="0.3"/>
    <row r="14" spans="1:19" x14ac:dyDescent="0.25">
      <c r="A14" t="s">
        <v>0</v>
      </c>
      <c r="C14" s="40">
        <f>'PM25 Present Value Costs'!B7</f>
        <v>74700</v>
      </c>
      <c r="F14" s="50"/>
    </row>
    <row r="15" spans="1:19" x14ac:dyDescent="0.25">
      <c r="A15" t="s">
        <v>1</v>
      </c>
      <c r="C15" s="41">
        <f>'PM25 Present Value Costs'!F19</f>
        <v>1761781.838163266</v>
      </c>
    </row>
    <row r="16" spans="1:19" x14ac:dyDescent="0.25">
      <c r="A16" t="s">
        <v>2</v>
      </c>
      <c r="C16" s="41">
        <f>C15/C17</f>
        <v>293630.30636054435</v>
      </c>
    </row>
    <row r="17" spans="1:5" x14ac:dyDescent="0.25">
      <c r="A17" t="s">
        <v>3</v>
      </c>
      <c r="C17" s="42">
        <f>'PM25 by State'!B26</f>
        <v>6</v>
      </c>
    </row>
    <row r="18" spans="1:5" x14ac:dyDescent="0.25">
      <c r="A18" t="s">
        <v>4</v>
      </c>
      <c r="C18" s="44">
        <f>C14/C20</f>
        <v>6225</v>
      </c>
      <c r="E18" s="17"/>
    </row>
    <row r="19" spans="1:5" x14ac:dyDescent="0.25">
      <c r="A19" t="s">
        <v>5</v>
      </c>
      <c r="C19" s="79">
        <f>C20/C17</f>
        <v>2</v>
      </c>
    </row>
    <row r="20" spans="1:5" ht="13" thickBot="1" x14ac:dyDescent="0.3">
      <c r="A20" t="s">
        <v>216</v>
      </c>
      <c r="C20" s="43">
        <f>'PM25 by State'!C26</f>
        <v>12</v>
      </c>
    </row>
  </sheetData>
  <mergeCells count="1">
    <mergeCell ref="A5:S5"/>
  </mergeCells>
  <pageMargins left="0.45" right="0.45" top="0.5" bottom="0.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B461-A1CC-4E49-80F5-2C442D32D67B}">
  <dimension ref="A3:H27"/>
  <sheetViews>
    <sheetView topLeftCell="A7" workbookViewId="0">
      <selection activeCell="D19" sqref="D19"/>
    </sheetView>
  </sheetViews>
  <sheetFormatPr defaultRowHeight="12.5" outlineLevelRow="1" x14ac:dyDescent="0.25"/>
  <cols>
    <col min="1" max="1" width="13" bestFit="1" customWidth="1"/>
    <col min="2" max="2" width="18" bestFit="1" customWidth="1"/>
    <col min="3" max="3" width="42.7265625" bestFit="1" customWidth="1"/>
    <col min="4" max="4" width="35.1796875" bestFit="1" customWidth="1"/>
  </cols>
  <sheetData>
    <row r="3" spans="1:8" x14ac:dyDescent="0.25">
      <c r="A3" s="76" t="s">
        <v>6</v>
      </c>
      <c r="B3" t="s">
        <v>7</v>
      </c>
      <c r="C3" t="s">
        <v>8</v>
      </c>
      <c r="D3" t="s">
        <v>9</v>
      </c>
    </row>
    <row r="4" spans="1:8" x14ac:dyDescent="0.25">
      <c r="A4" s="77" t="s">
        <v>10</v>
      </c>
      <c r="B4" s="78">
        <v>10</v>
      </c>
      <c r="C4" s="78">
        <v>1</v>
      </c>
      <c r="D4" s="78">
        <v>18000</v>
      </c>
    </row>
    <row r="5" spans="1:8" x14ac:dyDescent="0.25">
      <c r="A5" s="77" t="s">
        <v>11</v>
      </c>
      <c r="B5" s="78">
        <v>9</v>
      </c>
      <c r="C5" s="78">
        <v>1</v>
      </c>
      <c r="D5" s="78">
        <v>300</v>
      </c>
    </row>
    <row r="6" spans="1:8" x14ac:dyDescent="0.25">
      <c r="A6" s="77" t="s">
        <v>12</v>
      </c>
      <c r="B6" s="78">
        <v>9</v>
      </c>
      <c r="C6" s="78">
        <v>6</v>
      </c>
      <c r="D6" s="78">
        <v>55200</v>
      </c>
    </row>
    <row r="7" spans="1:8" outlineLevel="1" x14ac:dyDescent="0.25">
      <c r="A7" s="77" t="s">
        <v>15</v>
      </c>
      <c r="B7" s="78">
        <v>10</v>
      </c>
      <c r="C7" s="78">
        <v>1</v>
      </c>
      <c r="D7" s="78">
        <v>300</v>
      </c>
    </row>
    <row r="8" spans="1:8" x14ac:dyDescent="0.25">
      <c r="A8" s="77" t="s">
        <v>16</v>
      </c>
      <c r="B8" s="78">
        <v>3</v>
      </c>
      <c r="C8" s="78">
        <v>1</v>
      </c>
      <c r="D8" s="78">
        <v>300</v>
      </c>
    </row>
    <row r="9" spans="1:8" x14ac:dyDescent="0.25">
      <c r="A9" s="77" t="s">
        <v>17</v>
      </c>
      <c r="B9" s="78">
        <v>8</v>
      </c>
      <c r="C9" s="78">
        <v>2</v>
      </c>
      <c r="D9" s="78">
        <v>600</v>
      </c>
    </row>
    <row r="10" spans="1:8" x14ac:dyDescent="0.25">
      <c r="A10" s="77" t="s">
        <v>18</v>
      </c>
      <c r="B10" s="78">
        <v>10</v>
      </c>
      <c r="C10" s="78">
        <v>12</v>
      </c>
      <c r="D10" s="78">
        <v>74700</v>
      </c>
    </row>
    <row r="16" spans="1:8" ht="24.75" customHeight="1" x14ac:dyDescent="0.25">
      <c r="A16" s="135" t="s">
        <v>19</v>
      </c>
      <c r="B16" s="136" t="s">
        <v>20</v>
      </c>
      <c r="C16" s="136" t="s">
        <v>21</v>
      </c>
      <c r="D16" s="106" t="s">
        <v>22</v>
      </c>
      <c r="E16" s="136" t="s">
        <v>23</v>
      </c>
      <c r="F16" s="136" t="s">
        <v>24</v>
      </c>
      <c r="H16" s="17" t="s">
        <v>25</v>
      </c>
    </row>
    <row r="17" spans="1:8" ht="13" x14ac:dyDescent="0.25">
      <c r="A17" s="135"/>
      <c r="B17" s="136"/>
      <c r="C17" s="136"/>
      <c r="D17" s="106" t="s">
        <v>26</v>
      </c>
      <c r="E17" s="136"/>
      <c r="F17" s="136"/>
    </row>
    <row r="18" spans="1:8" x14ac:dyDescent="0.25">
      <c r="A18" s="18" t="s">
        <v>10</v>
      </c>
      <c r="B18" s="18">
        <v>10</v>
      </c>
      <c r="C18" s="18">
        <v>1</v>
      </c>
      <c r="D18" s="97">
        <f>H18/3</f>
        <v>6000</v>
      </c>
      <c r="E18" s="97">
        <f>D18</f>
        <v>6000</v>
      </c>
      <c r="F18" s="97">
        <f>D18</f>
        <v>6000</v>
      </c>
      <c r="H18" s="78">
        <v>18000</v>
      </c>
    </row>
    <row r="19" spans="1:8" x14ac:dyDescent="0.25">
      <c r="A19" s="18" t="s">
        <v>11</v>
      </c>
      <c r="B19" s="18">
        <v>9</v>
      </c>
      <c r="C19" s="18">
        <v>1</v>
      </c>
      <c r="D19" s="97">
        <v>100</v>
      </c>
      <c r="E19" s="97">
        <f t="shared" ref="E19:E23" si="0">D19</f>
        <v>100</v>
      </c>
      <c r="F19" s="97">
        <f t="shared" ref="F19:F23" si="1">D19</f>
        <v>100</v>
      </c>
      <c r="H19" s="51">
        <f>SUM(D19:G19)</f>
        <v>300</v>
      </c>
    </row>
    <row r="20" spans="1:8" x14ac:dyDescent="0.25">
      <c r="A20" s="18" t="s">
        <v>12</v>
      </c>
      <c r="B20" s="18">
        <v>9</v>
      </c>
      <c r="C20" s="18">
        <v>6</v>
      </c>
      <c r="D20" s="97">
        <f t="shared" ref="D20:D22" si="2">H20/3</f>
        <v>18400</v>
      </c>
      <c r="E20" s="97">
        <f t="shared" si="0"/>
        <v>18400</v>
      </c>
      <c r="F20" s="97">
        <f t="shared" si="1"/>
        <v>18400</v>
      </c>
      <c r="H20" s="78">
        <v>55200</v>
      </c>
    </row>
    <row r="21" spans="1:8" x14ac:dyDescent="0.25">
      <c r="A21" s="18" t="s">
        <v>15</v>
      </c>
      <c r="B21" s="18">
        <v>10</v>
      </c>
      <c r="C21" s="18">
        <v>1</v>
      </c>
      <c r="D21" s="97">
        <v>100</v>
      </c>
      <c r="E21" s="97">
        <f t="shared" si="0"/>
        <v>100</v>
      </c>
      <c r="F21" s="97">
        <f t="shared" si="1"/>
        <v>100</v>
      </c>
      <c r="H21" s="51">
        <f>SUM(D21:G21)</f>
        <v>300</v>
      </c>
    </row>
    <row r="22" spans="1:8" x14ac:dyDescent="0.25">
      <c r="A22" s="18" t="s">
        <v>16</v>
      </c>
      <c r="B22" s="18">
        <v>3</v>
      </c>
      <c r="C22" s="18">
        <v>1</v>
      </c>
      <c r="D22" s="97">
        <f t="shared" si="2"/>
        <v>100</v>
      </c>
      <c r="E22" s="97">
        <f t="shared" si="0"/>
        <v>100</v>
      </c>
      <c r="F22" s="97">
        <f t="shared" si="1"/>
        <v>100</v>
      </c>
      <c r="H22" s="78">
        <v>300</v>
      </c>
    </row>
    <row r="23" spans="1:8" x14ac:dyDescent="0.25">
      <c r="A23" s="18" t="s">
        <v>17</v>
      </c>
      <c r="B23" s="18">
        <v>8</v>
      </c>
      <c r="C23" s="18">
        <v>2</v>
      </c>
      <c r="D23" s="97">
        <v>200</v>
      </c>
      <c r="E23" s="97">
        <f t="shared" si="0"/>
        <v>200</v>
      </c>
      <c r="F23" s="97">
        <f t="shared" si="1"/>
        <v>200</v>
      </c>
      <c r="H23" s="51">
        <f>SUM(D23:G23)</f>
        <v>600</v>
      </c>
    </row>
    <row r="24" spans="1:8" x14ac:dyDescent="0.25">
      <c r="A24" s="100" t="s">
        <v>27</v>
      </c>
      <c r="B24" s="99" t="s">
        <v>28</v>
      </c>
      <c r="C24" s="18">
        <f>SUM(C18:C23)</f>
        <v>12</v>
      </c>
      <c r="D24" s="97">
        <f t="shared" ref="D24:F24" si="3">SUM(D18:D23)</f>
        <v>24900</v>
      </c>
      <c r="E24" s="97">
        <f t="shared" si="3"/>
        <v>24900</v>
      </c>
      <c r="F24" s="97">
        <f t="shared" si="3"/>
        <v>24900</v>
      </c>
      <c r="H24" s="124">
        <f>SUM(H18:H23)</f>
        <v>74700</v>
      </c>
    </row>
    <row r="26" spans="1:8" x14ac:dyDescent="0.25">
      <c r="B26" s="124">
        <f>COUNT(B18:B23)</f>
        <v>6</v>
      </c>
      <c r="C26" s="124">
        <f>SUM(C18:C23)</f>
        <v>12</v>
      </c>
    </row>
    <row r="27" spans="1:8" x14ac:dyDescent="0.25">
      <c r="B27" s="127" t="s">
        <v>29</v>
      </c>
      <c r="C27" s="128" t="s">
        <v>30</v>
      </c>
    </row>
  </sheetData>
  <mergeCells count="5">
    <mergeCell ref="A16:A17"/>
    <mergeCell ref="B16:B17"/>
    <mergeCell ref="C16:C17"/>
    <mergeCell ref="E16:E17"/>
    <mergeCell ref="F16:F17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9B8B-1004-43DB-A89C-78A2F73C08CF}">
  <dimension ref="A3:C8"/>
  <sheetViews>
    <sheetView workbookViewId="0">
      <selection activeCell="B16" sqref="B16"/>
    </sheetView>
  </sheetViews>
  <sheetFormatPr defaultRowHeight="12.5" x14ac:dyDescent="0.25"/>
  <cols>
    <col min="1" max="1" width="13" bestFit="1" customWidth="1"/>
    <col min="2" max="2" width="35.1796875" bestFit="1" customWidth="1"/>
    <col min="3" max="3" width="42.7265625" bestFit="1" customWidth="1"/>
  </cols>
  <sheetData>
    <row r="3" spans="1:3" ht="13" x14ac:dyDescent="0.3">
      <c r="A3" s="76" t="s">
        <v>6</v>
      </c>
      <c r="B3" t="s">
        <v>9</v>
      </c>
      <c r="C3" s="130" t="s">
        <v>218</v>
      </c>
    </row>
    <row r="4" spans="1:3" x14ac:dyDescent="0.25">
      <c r="A4" s="77">
        <v>3</v>
      </c>
      <c r="B4" s="78">
        <v>300</v>
      </c>
      <c r="C4" s="131">
        <v>24105</v>
      </c>
    </row>
    <row r="5" spans="1:3" x14ac:dyDescent="0.25">
      <c r="A5" s="77">
        <v>8</v>
      </c>
      <c r="B5" s="78">
        <v>600</v>
      </c>
      <c r="C5" s="131">
        <v>48210</v>
      </c>
    </row>
    <row r="6" spans="1:3" x14ac:dyDescent="0.25">
      <c r="A6" s="77">
        <v>9</v>
      </c>
      <c r="B6" s="78">
        <v>55500</v>
      </c>
      <c r="C6" s="131">
        <v>4459425</v>
      </c>
    </row>
    <row r="7" spans="1:3" ht="16" thickBot="1" x14ac:dyDescent="0.3">
      <c r="A7" s="77">
        <v>10</v>
      </c>
      <c r="B7" s="78">
        <v>18300</v>
      </c>
      <c r="C7" s="132">
        <v>1470405</v>
      </c>
    </row>
    <row r="8" spans="1:3" x14ac:dyDescent="0.25">
      <c r="A8" s="77" t="s">
        <v>18</v>
      </c>
      <c r="B8" s="133">
        <v>74700</v>
      </c>
      <c r="C8" s="124">
        <f>SUM(C4:C7)</f>
        <v>6002145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140C-0CF5-493B-A827-97DD6D640262}">
  <dimension ref="A1:H20"/>
  <sheetViews>
    <sheetView topLeftCell="A6" workbookViewId="0">
      <selection activeCell="A19" sqref="A19"/>
    </sheetView>
  </sheetViews>
  <sheetFormatPr defaultRowHeight="12.5" x14ac:dyDescent="0.25"/>
  <cols>
    <col min="1" max="1" width="37.453125" customWidth="1"/>
    <col min="4" max="4" width="31.81640625" customWidth="1"/>
    <col min="5" max="5" width="12.453125" customWidth="1"/>
    <col min="6" max="6" width="13.453125" customWidth="1"/>
    <col min="8" max="8" width="12.7265625" bestFit="1" customWidth="1"/>
  </cols>
  <sheetData>
    <row r="1" spans="1:6" ht="25" x14ac:dyDescent="0.25">
      <c r="A1" s="104" t="s">
        <v>119</v>
      </c>
      <c r="B1" s="124">
        <v>80.349999999999994</v>
      </c>
    </row>
    <row r="3" spans="1:6" ht="15" x14ac:dyDescent="0.25">
      <c r="A3" s="92" t="s">
        <v>31</v>
      </c>
    </row>
    <row r="5" spans="1:6" ht="13" thickBot="1" x14ac:dyDescent="0.3"/>
    <row r="6" spans="1:6" ht="75.5" thickBot="1" x14ac:dyDescent="0.3">
      <c r="A6" s="81" t="s">
        <v>32</v>
      </c>
      <c r="B6" s="82" t="s">
        <v>19</v>
      </c>
      <c r="C6" s="83" t="s">
        <v>33</v>
      </c>
      <c r="D6" s="84" t="s">
        <v>215</v>
      </c>
      <c r="E6" s="85" t="s">
        <v>34</v>
      </c>
      <c r="F6" s="85" t="s">
        <v>85</v>
      </c>
    </row>
    <row r="7" spans="1:6" ht="16" thickBot="1" x14ac:dyDescent="0.3">
      <c r="A7" s="86" t="s">
        <v>35</v>
      </c>
      <c r="B7" s="87" t="s">
        <v>10</v>
      </c>
      <c r="C7" s="87">
        <v>10</v>
      </c>
      <c r="D7" s="88" t="s">
        <v>36</v>
      </c>
      <c r="E7" s="89">
        <v>18000</v>
      </c>
      <c r="F7" s="93">
        <f>E7*$B$1</f>
        <v>1446300</v>
      </c>
    </row>
    <row r="8" spans="1:6" ht="16" thickBot="1" x14ac:dyDescent="0.3">
      <c r="A8" s="91" t="s">
        <v>38</v>
      </c>
      <c r="B8" s="87" t="s">
        <v>11</v>
      </c>
      <c r="C8" s="87">
        <v>9</v>
      </c>
      <c r="D8" s="90" t="s">
        <v>37</v>
      </c>
      <c r="E8" s="87">
        <v>300</v>
      </c>
      <c r="F8" s="93">
        <f t="shared" ref="F8:F18" si="0">E8*$B$1</f>
        <v>24105</v>
      </c>
    </row>
    <row r="9" spans="1:6" ht="16" thickBot="1" x14ac:dyDescent="0.3">
      <c r="A9" s="91" t="s">
        <v>39</v>
      </c>
      <c r="B9" s="87" t="s">
        <v>12</v>
      </c>
      <c r="C9" s="87">
        <v>9</v>
      </c>
      <c r="D9" s="90" t="s">
        <v>37</v>
      </c>
      <c r="E9" s="87">
        <v>300</v>
      </c>
      <c r="F9" s="93">
        <f t="shared" si="0"/>
        <v>24105</v>
      </c>
    </row>
    <row r="10" spans="1:6" ht="31.5" thickBot="1" x14ac:dyDescent="0.3">
      <c r="A10" s="86" t="s">
        <v>40</v>
      </c>
      <c r="B10" s="87" t="s">
        <v>12</v>
      </c>
      <c r="C10" s="87">
        <v>9</v>
      </c>
      <c r="D10" s="88" t="s">
        <v>41</v>
      </c>
      <c r="E10" s="89">
        <v>18300</v>
      </c>
      <c r="F10" s="93">
        <f t="shared" si="0"/>
        <v>1470405</v>
      </c>
    </row>
    <row r="11" spans="1:6" ht="16" thickBot="1" x14ac:dyDescent="0.3">
      <c r="A11" s="86" t="s">
        <v>42</v>
      </c>
      <c r="B11" s="87" t="s">
        <v>12</v>
      </c>
      <c r="C11" s="87">
        <v>9</v>
      </c>
      <c r="D11" s="88" t="s">
        <v>43</v>
      </c>
      <c r="E11" s="89">
        <v>18000</v>
      </c>
      <c r="F11" s="93">
        <f t="shared" si="0"/>
        <v>1446300</v>
      </c>
    </row>
    <row r="12" spans="1:6" ht="16" thickBot="1" x14ac:dyDescent="0.3">
      <c r="A12" s="86" t="s">
        <v>44</v>
      </c>
      <c r="B12" s="87" t="s">
        <v>12</v>
      </c>
      <c r="C12" s="87">
        <v>9</v>
      </c>
      <c r="D12" s="88" t="s">
        <v>37</v>
      </c>
      <c r="E12" s="87">
        <v>300</v>
      </c>
      <c r="F12" s="93">
        <f t="shared" si="0"/>
        <v>24105</v>
      </c>
    </row>
    <row r="13" spans="1:6" ht="16" thickBot="1" x14ac:dyDescent="0.3">
      <c r="A13" s="86" t="s">
        <v>45</v>
      </c>
      <c r="B13" s="87" t="s">
        <v>12</v>
      </c>
      <c r="C13" s="87">
        <v>9</v>
      </c>
      <c r="D13" s="88" t="s">
        <v>37</v>
      </c>
      <c r="E13" s="87">
        <v>300</v>
      </c>
      <c r="F13" s="93">
        <f t="shared" si="0"/>
        <v>24105</v>
      </c>
    </row>
    <row r="14" spans="1:6" ht="16" thickBot="1" x14ac:dyDescent="0.3">
      <c r="A14" s="86" t="s">
        <v>46</v>
      </c>
      <c r="B14" s="87" t="s">
        <v>12</v>
      </c>
      <c r="C14" s="87">
        <v>9</v>
      </c>
      <c r="D14" s="88" t="s">
        <v>47</v>
      </c>
      <c r="E14" s="89">
        <v>18000</v>
      </c>
      <c r="F14" s="93">
        <f t="shared" si="0"/>
        <v>1446300</v>
      </c>
    </row>
    <row r="15" spans="1:6" ht="16" thickBot="1" x14ac:dyDescent="0.3">
      <c r="A15" s="91" t="s">
        <v>48</v>
      </c>
      <c r="B15" s="87" t="s">
        <v>15</v>
      </c>
      <c r="C15" s="87">
        <v>10</v>
      </c>
      <c r="D15" s="90" t="s">
        <v>37</v>
      </c>
      <c r="E15" s="87">
        <v>300</v>
      </c>
      <c r="F15" s="93">
        <f t="shared" si="0"/>
        <v>24105</v>
      </c>
    </row>
    <row r="16" spans="1:6" ht="16" thickBot="1" x14ac:dyDescent="0.3">
      <c r="A16" s="91" t="s">
        <v>49</v>
      </c>
      <c r="B16" s="87" t="s">
        <v>16</v>
      </c>
      <c r="C16" s="87">
        <v>3</v>
      </c>
      <c r="D16" s="90" t="s">
        <v>50</v>
      </c>
      <c r="E16" s="87">
        <v>300</v>
      </c>
      <c r="F16" s="93">
        <f t="shared" si="0"/>
        <v>24105</v>
      </c>
    </row>
    <row r="17" spans="1:8" ht="16" thickBot="1" x14ac:dyDescent="0.3">
      <c r="A17" s="91" t="s">
        <v>51</v>
      </c>
      <c r="B17" s="87" t="s">
        <v>17</v>
      </c>
      <c r="C17" s="87">
        <v>8</v>
      </c>
      <c r="D17" s="90" t="s">
        <v>37</v>
      </c>
      <c r="E17" s="87">
        <v>300</v>
      </c>
      <c r="F17" s="93">
        <f t="shared" si="0"/>
        <v>24105</v>
      </c>
    </row>
    <row r="18" spans="1:8" ht="16" thickBot="1" x14ac:dyDescent="0.3">
      <c r="A18" s="91" t="s">
        <v>52</v>
      </c>
      <c r="B18" s="87" t="s">
        <v>17</v>
      </c>
      <c r="C18" s="87">
        <v>8</v>
      </c>
      <c r="D18" s="90" t="s">
        <v>37</v>
      </c>
      <c r="E18" s="95">
        <v>300</v>
      </c>
      <c r="F18" s="96">
        <f t="shared" si="0"/>
        <v>24105</v>
      </c>
    </row>
    <row r="19" spans="1:8" ht="16" thickBot="1" x14ac:dyDescent="0.3">
      <c r="A19" s="91" t="s">
        <v>53</v>
      </c>
      <c r="B19" s="87"/>
      <c r="C19" s="87"/>
      <c r="D19" s="88"/>
      <c r="E19" s="108">
        <f>SUM(E7:E18)</f>
        <v>74700</v>
      </c>
      <c r="F19" s="123">
        <f>SUM(F7:F18)</f>
        <v>6002145</v>
      </c>
      <c r="H19" s="94">
        <f>F19/3</f>
        <v>2000715</v>
      </c>
    </row>
    <row r="20" spans="1:8" x14ac:dyDescent="0.25">
      <c r="H20" s="17" t="s">
        <v>217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8546-70DF-40FD-BD42-8D37647FD7F9}">
  <dimension ref="A1:S37"/>
  <sheetViews>
    <sheetView tabSelected="1" topLeftCell="A6" zoomScaleNormal="100" workbookViewId="0">
      <selection activeCell="K10" sqref="K10"/>
    </sheetView>
  </sheetViews>
  <sheetFormatPr defaultColWidth="9.1796875" defaultRowHeight="14.5" x14ac:dyDescent="0.35"/>
  <cols>
    <col min="1" max="1" width="12.1796875" style="3" customWidth="1"/>
    <col min="2" max="2" width="21.453125" style="2" customWidth="1"/>
    <col min="3" max="3" width="15.26953125" style="6" bestFit="1" customWidth="1"/>
    <col min="4" max="4" width="14.1796875" style="3" customWidth="1"/>
    <col min="5" max="5" width="14.26953125" style="3" customWidth="1"/>
    <col min="6" max="6" width="16.453125" style="3" customWidth="1"/>
    <col min="7" max="7" width="10.54296875" style="6" bestFit="1" customWidth="1"/>
    <col min="8" max="9" width="12.54296875" style="6" bestFit="1" customWidth="1"/>
    <col min="10" max="10" width="12.54296875" style="3" bestFit="1" customWidth="1"/>
    <col min="11" max="11" width="13.7265625" style="3" bestFit="1" customWidth="1"/>
    <col min="12" max="14" width="10.54296875" style="3" hidden="1" customWidth="1"/>
    <col min="15" max="17" width="11.54296875" style="3" bestFit="1" customWidth="1"/>
    <col min="18" max="18" width="9.1796875" style="3"/>
    <col min="19" max="19" width="65.54296875" style="3" customWidth="1"/>
    <col min="20" max="16384" width="9.1796875" style="3"/>
  </cols>
  <sheetData>
    <row r="1" spans="1:19" x14ac:dyDescent="0.35">
      <c r="C1" s="109"/>
      <c r="D1" s="137" t="s">
        <v>54</v>
      </c>
      <c r="E1" s="137"/>
      <c r="F1" s="137"/>
      <c r="G1" s="137"/>
      <c r="H1" s="137"/>
      <c r="I1" s="137"/>
      <c r="J1" s="137"/>
      <c r="K1" s="138"/>
    </row>
    <row r="2" spans="1:19" s="2" customFormat="1" ht="43.5" x14ac:dyDescent="0.35">
      <c r="A2" s="21" t="s">
        <v>55</v>
      </c>
      <c r="B2" s="21" t="s">
        <v>56</v>
      </c>
      <c r="C2" s="22" t="s">
        <v>57</v>
      </c>
      <c r="D2" s="22" t="s">
        <v>58</v>
      </c>
      <c r="E2" s="21" t="s">
        <v>59</v>
      </c>
      <c r="F2" s="21" t="s">
        <v>60</v>
      </c>
      <c r="G2" s="21" t="s">
        <v>61</v>
      </c>
      <c r="H2" s="22" t="s">
        <v>62</v>
      </c>
      <c r="I2" s="22" t="s">
        <v>63</v>
      </c>
      <c r="J2" s="22" t="s">
        <v>64</v>
      </c>
      <c r="K2" s="21" t="s">
        <v>61</v>
      </c>
      <c r="L2" s="23" t="s">
        <v>65</v>
      </c>
      <c r="M2" s="24" t="s">
        <v>66</v>
      </c>
      <c r="N2" s="24" t="s">
        <v>67</v>
      </c>
      <c r="O2" s="25" t="s">
        <v>68</v>
      </c>
      <c r="P2" s="26" t="s">
        <v>69</v>
      </c>
      <c r="Q2" s="26" t="s">
        <v>70</v>
      </c>
    </row>
    <row r="3" spans="1:19" x14ac:dyDescent="0.35">
      <c r="A3" s="27">
        <f>'PM25Reg sum'!A4</f>
        <v>3</v>
      </c>
      <c r="B3" s="27">
        <f>'PM25Reg sum'!B4</f>
        <v>300</v>
      </c>
      <c r="C3" s="101">
        <f>'PM25Reg sum'!C4</f>
        <v>24105</v>
      </c>
      <c r="D3" s="110">
        <f>(0.1*B3)/3</f>
        <v>10</v>
      </c>
      <c r="E3" s="111">
        <f>D3</f>
        <v>10</v>
      </c>
      <c r="F3" s="111">
        <f>D3</f>
        <v>10</v>
      </c>
      <c r="G3" s="110">
        <f>E3+F3+D3</f>
        <v>30</v>
      </c>
      <c r="H3" s="112">
        <f>(0.1*C3)/3</f>
        <v>803.5</v>
      </c>
      <c r="I3" s="112">
        <f>H3</f>
        <v>803.5</v>
      </c>
      <c r="J3" s="112">
        <f>H3</f>
        <v>803.5</v>
      </c>
      <c r="K3" s="28">
        <f>I3+J3+H3</f>
        <v>2410.5</v>
      </c>
      <c r="L3" s="110">
        <f>(0.1*$B3)*0.375</f>
        <v>11.25</v>
      </c>
      <c r="M3" s="110">
        <f>(0.1*$B3)*0.375</f>
        <v>11.25</v>
      </c>
      <c r="N3" s="110">
        <f>(0.1*$B3)*0.25</f>
        <v>7.5</v>
      </c>
      <c r="O3" s="69">
        <f>(0.1*B3)*0.375</f>
        <v>11.25</v>
      </c>
      <c r="P3" s="69">
        <f>(0.1*B3)*0.375</f>
        <v>11.25</v>
      </c>
      <c r="Q3" s="69">
        <f>B3*0.1*0.25</f>
        <v>7.5</v>
      </c>
    </row>
    <row r="4" spans="1:19" x14ac:dyDescent="0.35">
      <c r="A4" s="27">
        <f>'PM25Reg sum'!A5</f>
        <v>8</v>
      </c>
      <c r="B4" s="27">
        <v>600</v>
      </c>
      <c r="C4" s="101">
        <f>'PM25Reg sum'!C5</f>
        <v>48210</v>
      </c>
      <c r="D4" s="110">
        <f t="shared" ref="D4:D6" si="0">(0.1*B4)/3</f>
        <v>20</v>
      </c>
      <c r="E4" s="111">
        <f t="shared" ref="E4:E6" si="1">D4</f>
        <v>20</v>
      </c>
      <c r="F4" s="111">
        <f t="shared" ref="F4:F6" si="2">D4</f>
        <v>20</v>
      </c>
      <c r="G4" s="110">
        <f t="shared" ref="G4:G6" si="3">E4+F4+D4</f>
        <v>60</v>
      </c>
      <c r="H4" s="112">
        <f t="shared" ref="H4:H6" si="4">(0.1*C4)/3</f>
        <v>1607</v>
      </c>
      <c r="I4" s="112">
        <f t="shared" ref="I4:I6" si="5">H4</f>
        <v>1607</v>
      </c>
      <c r="J4" s="112">
        <f t="shared" ref="J4:J6" si="6">H4</f>
        <v>1607</v>
      </c>
      <c r="K4" s="28">
        <f t="shared" ref="K4:K6" si="7">I4+J4+H4</f>
        <v>4821</v>
      </c>
      <c r="L4" s="110">
        <f t="shared" ref="L4:M6" si="8">(0.1*$B4)*0.375</f>
        <v>22.5</v>
      </c>
      <c r="M4" s="110">
        <f t="shared" si="8"/>
        <v>22.5</v>
      </c>
      <c r="N4" s="110">
        <f t="shared" ref="N4:N6" si="9">(0.1*$B4)*0.25</f>
        <v>15</v>
      </c>
      <c r="O4" s="69">
        <f t="shared" ref="O4:O6" si="10">(0.1*B4)*0.375</f>
        <v>22.5</v>
      </c>
      <c r="P4" s="69">
        <f t="shared" ref="P4:P6" si="11">(0.1*B4)*0.375</f>
        <v>22.5</v>
      </c>
      <c r="Q4" s="69">
        <f t="shared" ref="Q4:Q6" si="12">B4*0.1*0.25</f>
        <v>15</v>
      </c>
    </row>
    <row r="5" spans="1:19" x14ac:dyDescent="0.35">
      <c r="A5" s="27">
        <f>'PM25Reg sum'!A6</f>
        <v>9</v>
      </c>
      <c r="B5" s="27">
        <v>55500</v>
      </c>
      <c r="C5" s="101">
        <f>'PM25Reg sum'!C6</f>
        <v>4459425</v>
      </c>
      <c r="D5" s="110">
        <f t="shared" si="0"/>
        <v>1850</v>
      </c>
      <c r="E5" s="111">
        <f t="shared" si="1"/>
        <v>1850</v>
      </c>
      <c r="F5" s="111">
        <f t="shared" si="2"/>
        <v>1850</v>
      </c>
      <c r="G5" s="110">
        <f t="shared" si="3"/>
        <v>5550</v>
      </c>
      <c r="H5" s="112">
        <f t="shared" si="4"/>
        <v>148647.5</v>
      </c>
      <c r="I5" s="112">
        <f t="shared" si="5"/>
        <v>148647.5</v>
      </c>
      <c r="J5" s="112">
        <f t="shared" si="6"/>
        <v>148647.5</v>
      </c>
      <c r="K5" s="28">
        <f t="shared" si="7"/>
        <v>445942.5</v>
      </c>
      <c r="L5" s="110">
        <f t="shared" si="8"/>
        <v>2081.25</v>
      </c>
      <c r="M5" s="110">
        <f t="shared" si="8"/>
        <v>2081.25</v>
      </c>
      <c r="N5" s="110">
        <f t="shared" si="9"/>
        <v>1387.5</v>
      </c>
      <c r="O5" s="69">
        <f t="shared" si="10"/>
        <v>2081.25</v>
      </c>
      <c r="P5" s="69">
        <f t="shared" si="11"/>
        <v>2081.25</v>
      </c>
      <c r="Q5" s="69">
        <f t="shared" si="12"/>
        <v>1387.5</v>
      </c>
    </row>
    <row r="6" spans="1:19" x14ac:dyDescent="0.35">
      <c r="A6" s="27">
        <f>'PM25Reg sum'!A7</f>
        <v>10</v>
      </c>
      <c r="B6" s="27">
        <v>18300</v>
      </c>
      <c r="C6" s="101">
        <f>'PM25Reg sum'!C7</f>
        <v>1470405</v>
      </c>
      <c r="D6" s="110">
        <f t="shared" si="0"/>
        <v>610</v>
      </c>
      <c r="E6" s="111">
        <f t="shared" si="1"/>
        <v>610</v>
      </c>
      <c r="F6" s="111">
        <f t="shared" si="2"/>
        <v>610</v>
      </c>
      <c r="G6" s="110">
        <f t="shared" si="3"/>
        <v>1830</v>
      </c>
      <c r="H6" s="112">
        <f t="shared" si="4"/>
        <v>49013.5</v>
      </c>
      <c r="I6" s="112">
        <f t="shared" si="5"/>
        <v>49013.5</v>
      </c>
      <c r="J6" s="112">
        <f t="shared" si="6"/>
        <v>49013.5</v>
      </c>
      <c r="K6" s="28">
        <f t="shared" si="7"/>
        <v>147040.5</v>
      </c>
      <c r="L6" s="110">
        <f t="shared" si="8"/>
        <v>686.25</v>
      </c>
      <c r="M6" s="110">
        <f t="shared" si="8"/>
        <v>686.25</v>
      </c>
      <c r="N6" s="110">
        <f t="shared" si="9"/>
        <v>457.5</v>
      </c>
      <c r="O6" s="69">
        <f t="shared" si="10"/>
        <v>686.25</v>
      </c>
      <c r="P6" s="69">
        <f t="shared" si="11"/>
        <v>686.25</v>
      </c>
      <c r="Q6" s="69">
        <f t="shared" si="12"/>
        <v>457.5</v>
      </c>
    </row>
    <row r="7" spans="1:19" x14ac:dyDescent="0.35">
      <c r="A7" s="34" t="s">
        <v>71</v>
      </c>
      <c r="B7" s="46">
        <f t="shared" ref="B7:K7" si="13">SUM(B3:B6)</f>
        <v>74700</v>
      </c>
      <c r="C7" s="113">
        <f t="shared" si="13"/>
        <v>6002145</v>
      </c>
      <c r="D7" s="29">
        <f t="shared" si="13"/>
        <v>2490</v>
      </c>
      <c r="E7" s="68">
        <f t="shared" si="13"/>
        <v>2490</v>
      </c>
      <c r="F7" s="30">
        <f t="shared" si="13"/>
        <v>2490</v>
      </c>
      <c r="G7" s="30">
        <f t="shared" si="13"/>
        <v>7470</v>
      </c>
      <c r="H7" s="30">
        <f t="shared" si="13"/>
        <v>200071.5</v>
      </c>
      <c r="I7" s="31">
        <f t="shared" si="13"/>
        <v>200071.5</v>
      </c>
      <c r="J7" s="31">
        <f t="shared" si="13"/>
        <v>200071.5</v>
      </c>
      <c r="K7" s="32">
        <f t="shared" si="13"/>
        <v>600214.5</v>
      </c>
      <c r="L7" s="33">
        <f t="shared" ref="L7:Q7" si="14">SUM(L3:L6)</f>
        <v>2801.25</v>
      </c>
      <c r="M7" s="33">
        <f t="shared" si="14"/>
        <v>2801.25</v>
      </c>
      <c r="N7" s="33">
        <f t="shared" si="14"/>
        <v>1867.5</v>
      </c>
      <c r="O7" s="70">
        <f t="shared" si="14"/>
        <v>2801.25</v>
      </c>
      <c r="P7" s="71">
        <f t="shared" si="14"/>
        <v>2801.25</v>
      </c>
      <c r="Q7" s="71">
        <f t="shared" si="14"/>
        <v>1867.5</v>
      </c>
    </row>
    <row r="8" spans="1:19" x14ac:dyDescent="0.35">
      <c r="A8" s="27"/>
      <c r="B8" s="46"/>
      <c r="C8" s="113"/>
      <c r="D8" s="29"/>
      <c r="E8" s="68"/>
      <c r="F8" s="30"/>
      <c r="G8" s="30"/>
      <c r="H8" s="30"/>
      <c r="I8" s="31"/>
      <c r="J8" s="31"/>
      <c r="K8" s="32"/>
      <c r="L8" s="33"/>
      <c r="M8" s="33"/>
      <c r="N8" s="33"/>
      <c r="O8" s="70"/>
      <c r="P8" s="71"/>
      <c r="Q8" s="71"/>
    </row>
    <row r="9" spans="1:19" x14ac:dyDescent="0.35">
      <c r="A9" s="34" t="s">
        <v>72</v>
      </c>
      <c r="B9" s="35"/>
      <c r="C9" s="112"/>
      <c r="D9" s="36">
        <f t="shared" ref="D9:Q9" si="15">0.1*D7</f>
        <v>249</v>
      </c>
      <c r="E9" s="36">
        <f t="shared" si="15"/>
        <v>249</v>
      </c>
      <c r="F9" s="36">
        <f t="shared" si="15"/>
        <v>249</v>
      </c>
      <c r="G9" s="36">
        <f t="shared" si="15"/>
        <v>747</v>
      </c>
      <c r="H9" s="112">
        <f t="shared" si="15"/>
        <v>20007.150000000001</v>
      </c>
      <c r="I9" s="112">
        <f t="shared" si="15"/>
        <v>20007.150000000001</v>
      </c>
      <c r="J9" s="112">
        <f t="shared" si="15"/>
        <v>20007.150000000001</v>
      </c>
      <c r="K9" s="112">
        <f t="shared" si="15"/>
        <v>60021.450000000004</v>
      </c>
      <c r="L9" s="112">
        <f t="shared" si="15"/>
        <v>280.125</v>
      </c>
      <c r="M9" s="112">
        <f t="shared" si="15"/>
        <v>280.125</v>
      </c>
      <c r="N9" s="112">
        <f t="shared" si="15"/>
        <v>186.75</v>
      </c>
      <c r="O9" s="69">
        <f t="shared" si="15"/>
        <v>280.125</v>
      </c>
      <c r="P9" s="69">
        <f t="shared" si="15"/>
        <v>280.125</v>
      </c>
      <c r="Q9" s="69">
        <f t="shared" si="15"/>
        <v>186.75</v>
      </c>
    </row>
    <row r="10" spans="1:19" x14ac:dyDescent="0.35">
      <c r="A10" s="34" t="s">
        <v>73</v>
      </c>
      <c r="B10" s="35"/>
      <c r="C10" s="112"/>
      <c r="D10" s="37">
        <f t="shared" ref="D10:Q10" si="16">D9+D7</f>
        <v>2739</v>
      </c>
      <c r="E10" s="37">
        <f t="shared" si="16"/>
        <v>2739</v>
      </c>
      <c r="F10" s="45">
        <f t="shared" si="16"/>
        <v>2739</v>
      </c>
      <c r="G10" s="45">
        <f t="shared" si="16"/>
        <v>8217</v>
      </c>
      <c r="H10" s="38">
        <f t="shared" si="16"/>
        <v>220078.65</v>
      </c>
      <c r="I10" s="38">
        <f t="shared" si="16"/>
        <v>220078.65</v>
      </c>
      <c r="J10" s="38">
        <f t="shared" si="16"/>
        <v>220078.65</v>
      </c>
      <c r="K10" s="72">
        <f t="shared" si="16"/>
        <v>660235.94999999995</v>
      </c>
      <c r="L10" s="112">
        <f t="shared" si="16"/>
        <v>3081.375</v>
      </c>
      <c r="M10" s="112">
        <f t="shared" si="16"/>
        <v>3081.375</v>
      </c>
      <c r="N10" s="112">
        <f t="shared" si="16"/>
        <v>2054.25</v>
      </c>
      <c r="O10" s="69">
        <f t="shared" si="16"/>
        <v>3081.375</v>
      </c>
      <c r="P10" s="69">
        <f t="shared" si="16"/>
        <v>3081.375</v>
      </c>
      <c r="Q10" s="69">
        <f t="shared" si="16"/>
        <v>2054.25</v>
      </c>
    </row>
    <row r="11" spans="1:19" x14ac:dyDescent="0.35">
      <c r="C11" s="109"/>
      <c r="D11" s="13"/>
      <c r="F11" s="13"/>
      <c r="G11" s="109"/>
      <c r="H11" s="109"/>
      <c r="I11" s="109"/>
      <c r="K11" s="114"/>
    </row>
    <row r="12" spans="1:19" x14ac:dyDescent="0.35">
      <c r="A12" s="7" t="s">
        <v>74</v>
      </c>
      <c r="C12" s="109"/>
      <c r="G12" s="115">
        <f>B7+G10</f>
        <v>82917</v>
      </c>
      <c r="H12" s="109"/>
      <c r="I12" s="109"/>
    </row>
    <row r="13" spans="1:19" ht="15" customHeight="1" x14ac:dyDescent="0.35">
      <c r="A13" s="3" t="s">
        <v>75</v>
      </c>
      <c r="B13" s="116">
        <f>B7/3</f>
        <v>24900</v>
      </c>
      <c r="C13" s="117"/>
      <c r="D13" s="73"/>
      <c r="E13" s="74"/>
      <c r="F13" s="75"/>
      <c r="G13" s="118"/>
      <c r="H13" s="118"/>
      <c r="I13" s="109"/>
      <c r="J13" s="139"/>
      <c r="K13" s="139"/>
      <c r="L13" s="139"/>
      <c r="M13" s="139"/>
      <c r="N13" s="139"/>
      <c r="O13" s="139"/>
      <c r="P13" s="139"/>
      <c r="Q13" s="139"/>
      <c r="R13" s="139"/>
      <c r="S13" s="139"/>
    </row>
    <row r="14" spans="1:19" x14ac:dyDescent="0.35">
      <c r="A14" s="3" t="s">
        <v>54</v>
      </c>
      <c r="B14" s="116">
        <f>(SUM(D10,E10,F10))/3</f>
        <v>2739</v>
      </c>
      <c r="C14" s="115"/>
      <c r="D14" s="10"/>
      <c r="G14" s="109"/>
      <c r="H14" s="109"/>
      <c r="I14" s="109"/>
      <c r="J14" s="139"/>
      <c r="K14" s="139"/>
      <c r="L14" s="139"/>
      <c r="M14" s="139"/>
      <c r="N14" s="139"/>
      <c r="O14" s="139"/>
      <c r="P14" s="139"/>
      <c r="Q14" s="139"/>
      <c r="R14" s="139"/>
      <c r="S14" s="139"/>
    </row>
    <row r="15" spans="1:19" x14ac:dyDescent="0.35">
      <c r="A15" s="3" t="s">
        <v>27</v>
      </c>
      <c r="B15" s="107">
        <f>SUM(B13:B14)</f>
        <v>27639</v>
      </c>
      <c r="C15" s="9"/>
      <c r="G15" s="109"/>
      <c r="H15" s="109"/>
      <c r="I15" s="109"/>
      <c r="J15" s="139"/>
      <c r="K15" s="139"/>
      <c r="L15" s="139"/>
      <c r="M15" s="139"/>
      <c r="N15" s="139"/>
      <c r="O15" s="139"/>
      <c r="P15" s="139"/>
      <c r="Q15" s="139"/>
      <c r="R15" s="139"/>
      <c r="S15" s="139"/>
    </row>
    <row r="16" spans="1:19" x14ac:dyDescent="0.35">
      <c r="C16" s="109"/>
      <c r="D16" s="105" t="s">
        <v>76</v>
      </c>
      <c r="E16" s="49"/>
      <c r="F16" s="49"/>
      <c r="G16" s="119"/>
      <c r="H16" s="109"/>
      <c r="I16" s="109"/>
      <c r="J16" s="139"/>
      <c r="K16" s="139"/>
      <c r="L16" s="139"/>
      <c r="M16" s="139"/>
      <c r="N16" s="139"/>
      <c r="O16" s="139"/>
      <c r="P16" s="139"/>
      <c r="Q16" s="139"/>
      <c r="R16" s="139"/>
      <c r="S16" s="139"/>
    </row>
    <row r="17" spans="1:19" x14ac:dyDescent="0.35">
      <c r="A17" s="125" t="s">
        <v>77</v>
      </c>
      <c r="B17" s="126"/>
      <c r="C17" s="120" t="s">
        <v>78</v>
      </c>
      <c r="D17" s="14">
        <f>1.0825^2</f>
        <v>1.1718062499999999</v>
      </c>
      <c r="E17" s="15" t="s">
        <v>79</v>
      </c>
      <c r="F17" s="16">
        <f>1.0825^3</f>
        <v>1.268480265625</v>
      </c>
      <c r="G17" s="109"/>
      <c r="H17" s="109"/>
      <c r="I17" s="109"/>
      <c r="J17" s="139"/>
      <c r="K17" s="139"/>
      <c r="L17" s="139"/>
      <c r="M17" s="139"/>
      <c r="N17" s="139"/>
      <c r="O17" s="139"/>
      <c r="P17" s="139"/>
      <c r="Q17" s="139"/>
      <c r="R17" s="139"/>
      <c r="S17" s="139"/>
    </row>
    <row r="18" spans="1:19" x14ac:dyDescent="0.35">
      <c r="B18" s="1" t="s">
        <v>80</v>
      </c>
      <c r="C18" s="7" t="s">
        <v>81</v>
      </c>
      <c r="D18" s="12" t="s">
        <v>71</v>
      </c>
      <c r="E18" s="7" t="s">
        <v>27</v>
      </c>
      <c r="G18" s="109"/>
      <c r="H18" s="109"/>
      <c r="I18" s="109"/>
    </row>
    <row r="19" spans="1:19" x14ac:dyDescent="0.35">
      <c r="A19" s="3" t="s">
        <v>75</v>
      </c>
      <c r="B19" s="121">
        <f>pm25annual!L19/D17</f>
        <v>1707376.9661153452</v>
      </c>
      <c r="C19" s="109">
        <f>pm25annual!M19/F17</f>
        <v>1577253.5483744529</v>
      </c>
      <c r="D19" s="122">
        <f>SUM(B19:C19)</f>
        <v>3284630.5144897979</v>
      </c>
      <c r="E19" s="47">
        <f>D19+pm25annual!K19</f>
        <v>5285345.5144897979</v>
      </c>
      <c r="F19" s="48">
        <f>E19/3</f>
        <v>1761781.838163266</v>
      </c>
      <c r="G19" s="109"/>
      <c r="H19" s="109"/>
      <c r="I19" s="109"/>
    </row>
    <row r="20" spans="1:19" x14ac:dyDescent="0.35">
      <c r="A20" s="3" t="s">
        <v>54</v>
      </c>
      <c r="B20" s="121">
        <f>I10/D17</f>
        <v>187811.46627268801</v>
      </c>
      <c r="C20" s="109">
        <f>J10/F17</f>
        <v>173497.89032118983</v>
      </c>
      <c r="D20" s="122">
        <f>SUM(B20:C20)</f>
        <v>361309.35659387783</v>
      </c>
      <c r="E20" s="47">
        <f>D20+H10</f>
        <v>581388.0065938778</v>
      </c>
      <c r="F20" s="48">
        <f>E20/3</f>
        <v>193796.00219795926</v>
      </c>
      <c r="G20" s="109"/>
      <c r="H20" s="109"/>
      <c r="I20" s="109"/>
    </row>
    <row r="21" spans="1:19" x14ac:dyDescent="0.35">
      <c r="A21" s="3" t="s">
        <v>27</v>
      </c>
      <c r="B21" s="19">
        <f>SUM(B19:B20)</f>
        <v>1895188.4323880333</v>
      </c>
      <c r="C21" s="11">
        <f>SUM(C19:C20)</f>
        <v>1750751.4386956426</v>
      </c>
      <c r="D21" s="8">
        <f>SUM(D19:D20)</f>
        <v>3645939.8710836759</v>
      </c>
      <c r="E21" s="8">
        <f>SUM(E19:E20)</f>
        <v>5866733.5210836753</v>
      </c>
      <c r="F21" s="5">
        <f>E21/3</f>
        <v>1955577.8403612252</v>
      </c>
      <c r="G21" s="109"/>
      <c r="H21" s="109"/>
      <c r="I21" s="109"/>
    </row>
    <row r="22" spans="1:19" x14ac:dyDescent="0.35">
      <c r="C22" s="109"/>
      <c r="D22" s="4"/>
      <c r="G22" s="109"/>
      <c r="H22" s="109"/>
      <c r="I22" s="109"/>
    </row>
    <row r="24" spans="1:19" x14ac:dyDescent="0.35">
      <c r="C24" s="109" t="s">
        <v>82</v>
      </c>
      <c r="E24" s="80">
        <f>B7+G10</f>
        <v>82917</v>
      </c>
      <c r="G24" s="109"/>
      <c r="H24" s="109"/>
      <c r="I24" s="109"/>
    </row>
    <row r="32" spans="1:19" x14ac:dyDescent="0.35">
      <c r="C32" s="109"/>
      <c r="G32" s="109"/>
      <c r="H32" s="109"/>
      <c r="I32" s="109"/>
    </row>
    <row r="37" spans="2:16" x14ac:dyDescent="0.35">
      <c r="B37" s="1"/>
      <c r="C37" s="11"/>
      <c r="D37" s="7"/>
      <c r="E37" s="7"/>
      <c r="F37" s="7"/>
      <c r="G37" s="11"/>
      <c r="H37" s="11"/>
      <c r="I37" s="11"/>
      <c r="J37" s="7"/>
      <c r="K37" s="7"/>
      <c r="L37" s="7"/>
      <c r="M37" s="7"/>
      <c r="N37" s="7"/>
      <c r="O37" s="7"/>
      <c r="P37" s="7"/>
    </row>
  </sheetData>
  <mergeCells count="2">
    <mergeCell ref="D1:K1"/>
    <mergeCell ref="J13:S17"/>
  </mergeCells>
  <pageMargins left="0.5" right="0.5" top="0.75" bottom="0.75" header="0.3" footer="0.3"/>
  <pageSetup orientation="landscape" r:id="rId1"/>
  <headerFooter>
    <oddHeader>&amp;LDRAFT - DO NOT CITE&amp;C2010 Hypothetical Ozone Designations (Option 1)
&amp;A&amp;R8/27/2010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2A05-E91C-4DEE-93F0-0E75340F0319}">
  <dimension ref="A1:M19"/>
  <sheetViews>
    <sheetView topLeftCell="A6" workbookViewId="0">
      <selection activeCell="F7" sqref="F7"/>
    </sheetView>
  </sheetViews>
  <sheetFormatPr defaultRowHeight="12.5" x14ac:dyDescent="0.25"/>
  <cols>
    <col min="1" max="1" width="37.453125" customWidth="1"/>
    <col min="4" max="4" width="31.81640625" customWidth="1"/>
    <col min="5" max="5" width="12.453125" customWidth="1"/>
    <col min="6" max="6" width="13.453125" customWidth="1"/>
    <col min="11" max="11" width="14.1796875" customWidth="1"/>
    <col min="12" max="12" width="11.453125" customWidth="1"/>
    <col min="13" max="13" width="16.1796875" customWidth="1"/>
  </cols>
  <sheetData>
    <row r="1" spans="1:13" ht="25" x14ac:dyDescent="0.25">
      <c r="A1" s="104" t="s">
        <v>83</v>
      </c>
      <c r="B1" s="124">
        <v>80.349999999999994</v>
      </c>
    </row>
    <row r="3" spans="1:13" ht="15" x14ac:dyDescent="0.25">
      <c r="A3" s="92" t="s">
        <v>31</v>
      </c>
    </row>
    <row r="5" spans="1:13" ht="13" thickBot="1" x14ac:dyDescent="0.3"/>
    <row r="6" spans="1:13" ht="75.5" thickBot="1" x14ac:dyDescent="0.4">
      <c r="A6" s="81" t="s">
        <v>32</v>
      </c>
      <c r="B6" s="82" t="s">
        <v>19</v>
      </c>
      <c r="C6" s="83" t="s">
        <v>33</v>
      </c>
      <c r="D6" s="84" t="s">
        <v>84</v>
      </c>
      <c r="E6" s="85" t="s">
        <v>34</v>
      </c>
      <c r="F6" s="85" t="s">
        <v>85</v>
      </c>
      <c r="H6" s="102" t="s">
        <v>86</v>
      </c>
      <c r="I6" s="24" t="s">
        <v>87</v>
      </c>
      <c r="J6" s="24" t="s">
        <v>88</v>
      </c>
      <c r="K6" s="24" t="s">
        <v>89</v>
      </c>
      <c r="L6" s="24" t="s">
        <v>90</v>
      </c>
      <c r="M6" s="24" t="s">
        <v>91</v>
      </c>
    </row>
    <row r="7" spans="1:13" ht="16" thickBot="1" x14ac:dyDescent="0.3">
      <c r="A7" s="86" t="s">
        <v>35</v>
      </c>
      <c r="B7" s="87" t="s">
        <v>10</v>
      </c>
      <c r="C7" s="87">
        <v>10</v>
      </c>
      <c r="D7" s="88" t="s">
        <v>36</v>
      </c>
      <c r="E7" s="89">
        <v>18000</v>
      </c>
      <c r="F7" s="93">
        <f>E7*$B$1</f>
        <v>1446300</v>
      </c>
      <c r="H7" s="97">
        <f>E7/3</f>
        <v>6000</v>
      </c>
      <c r="I7" s="97">
        <f>H7</f>
        <v>6000</v>
      </c>
      <c r="J7" s="97">
        <f>H7</f>
        <v>6000</v>
      </c>
      <c r="K7" s="98">
        <f>H7*$B$1</f>
        <v>482099.99999999994</v>
      </c>
      <c r="L7" s="98">
        <f t="shared" ref="L7:M7" si="0">I7*$B$1</f>
        <v>482099.99999999994</v>
      </c>
      <c r="M7" s="98">
        <f t="shared" si="0"/>
        <v>482099.99999999994</v>
      </c>
    </row>
    <row r="8" spans="1:13" ht="16" thickBot="1" x14ac:dyDescent="0.3">
      <c r="A8" s="91" t="s">
        <v>38</v>
      </c>
      <c r="B8" s="87" t="s">
        <v>11</v>
      </c>
      <c r="C8" s="87">
        <v>9</v>
      </c>
      <c r="D8" s="90" t="s">
        <v>37</v>
      </c>
      <c r="E8" s="87">
        <v>300</v>
      </c>
      <c r="F8" s="93">
        <f t="shared" ref="F8:F18" si="1">E8*$B$1</f>
        <v>24105</v>
      </c>
      <c r="H8" s="97">
        <f t="shared" ref="H8:H18" si="2">E8/3</f>
        <v>100</v>
      </c>
      <c r="I8" s="97">
        <f t="shared" ref="I8:I18" si="3">H8</f>
        <v>100</v>
      </c>
      <c r="J8" s="97">
        <f t="shared" ref="J8:J18" si="4">H8</f>
        <v>100</v>
      </c>
      <c r="K8" s="98">
        <f t="shared" ref="K8:K19" si="5">H8*$B$1</f>
        <v>8034.9999999999991</v>
      </c>
      <c r="L8" s="98">
        <f t="shared" ref="L8:L19" si="6">I8*$B$1</f>
        <v>8034.9999999999991</v>
      </c>
      <c r="M8" s="98">
        <f t="shared" ref="M8:M19" si="7">J8*$B$1</f>
        <v>8034.9999999999991</v>
      </c>
    </row>
    <row r="9" spans="1:13" ht="16" thickBot="1" x14ac:dyDescent="0.3">
      <c r="A9" s="91" t="s">
        <v>39</v>
      </c>
      <c r="B9" s="87" t="s">
        <v>12</v>
      </c>
      <c r="C9" s="87">
        <v>9</v>
      </c>
      <c r="D9" s="90" t="s">
        <v>92</v>
      </c>
      <c r="E9" s="87">
        <v>300</v>
      </c>
      <c r="F9" s="93">
        <f t="shared" si="1"/>
        <v>24105</v>
      </c>
      <c r="H9" s="97">
        <f t="shared" si="2"/>
        <v>100</v>
      </c>
      <c r="I9" s="97">
        <f t="shared" si="3"/>
        <v>100</v>
      </c>
      <c r="J9" s="97">
        <f t="shared" si="4"/>
        <v>100</v>
      </c>
      <c r="K9" s="98">
        <f t="shared" si="5"/>
        <v>8034.9999999999991</v>
      </c>
      <c r="L9" s="98">
        <f t="shared" si="6"/>
        <v>8034.9999999999991</v>
      </c>
      <c r="M9" s="98">
        <f t="shared" si="7"/>
        <v>8034.9999999999991</v>
      </c>
    </row>
    <row r="10" spans="1:13" ht="31.5" thickBot="1" x14ac:dyDescent="0.3">
      <c r="A10" s="86" t="s">
        <v>40</v>
      </c>
      <c r="B10" s="87" t="s">
        <v>12</v>
      </c>
      <c r="C10" s="87">
        <v>9</v>
      </c>
      <c r="D10" s="88" t="s">
        <v>93</v>
      </c>
      <c r="E10" s="89">
        <v>18300</v>
      </c>
      <c r="F10" s="93">
        <f t="shared" si="1"/>
        <v>1470405</v>
      </c>
      <c r="H10" s="97">
        <f t="shared" si="2"/>
        <v>6100</v>
      </c>
      <c r="I10" s="97">
        <f t="shared" si="3"/>
        <v>6100</v>
      </c>
      <c r="J10" s="97">
        <f t="shared" si="4"/>
        <v>6100</v>
      </c>
      <c r="K10" s="98">
        <f t="shared" si="5"/>
        <v>490134.99999999994</v>
      </c>
      <c r="L10" s="98">
        <f t="shared" si="6"/>
        <v>490134.99999999994</v>
      </c>
      <c r="M10" s="98">
        <f t="shared" si="7"/>
        <v>490134.99999999994</v>
      </c>
    </row>
    <row r="11" spans="1:13" ht="16" thickBot="1" x14ac:dyDescent="0.3">
      <c r="A11" s="86" t="s">
        <v>42</v>
      </c>
      <c r="B11" s="87" t="s">
        <v>12</v>
      </c>
      <c r="C11" s="87">
        <v>9</v>
      </c>
      <c r="D11" s="88" t="s">
        <v>94</v>
      </c>
      <c r="E11" s="89">
        <v>18000</v>
      </c>
      <c r="F11" s="93">
        <f t="shared" si="1"/>
        <v>1446300</v>
      </c>
      <c r="H11" s="97">
        <f t="shared" si="2"/>
        <v>6000</v>
      </c>
      <c r="I11" s="97">
        <f t="shared" si="3"/>
        <v>6000</v>
      </c>
      <c r="J11" s="97">
        <f t="shared" si="4"/>
        <v>6000</v>
      </c>
      <c r="K11" s="98">
        <f t="shared" si="5"/>
        <v>482099.99999999994</v>
      </c>
      <c r="L11" s="98">
        <f t="shared" si="6"/>
        <v>482099.99999999994</v>
      </c>
      <c r="M11" s="98">
        <f t="shared" si="7"/>
        <v>482099.99999999994</v>
      </c>
    </row>
    <row r="12" spans="1:13" ht="16" thickBot="1" x14ac:dyDescent="0.3">
      <c r="A12" s="86" t="s">
        <v>44</v>
      </c>
      <c r="B12" s="87" t="s">
        <v>12</v>
      </c>
      <c r="C12" s="87">
        <v>9</v>
      </c>
      <c r="D12" s="88" t="s">
        <v>37</v>
      </c>
      <c r="E12" s="87">
        <v>300</v>
      </c>
      <c r="F12" s="93">
        <f t="shared" si="1"/>
        <v>24105</v>
      </c>
      <c r="H12" s="97">
        <f t="shared" si="2"/>
        <v>100</v>
      </c>
      <c r="I12" s="97">
        <f t="shared" si="3"/>
        <v>100</v>
      </c>
      <c r="J12" s="97">
        <f t="shared" si="4"/>
        <v>100</v>
      </c>
      <c r="K12" s="98">
        <f t="shared" si="5"/>
        <v>8034.9999999999991</v>
      </c>
      <c r="L12" s="98">
        <f t="shared" si="6"/>
        <v>8034.9999999999991</v>
      </c>
      <c r="M12" s="98">
        <f t="shared" si="7"/>
        <v>8034.9999999999991</v>
      </c>
    </row>
    <row r="13" spans="1:13" ht="16" thickBot="1" x14ac:dyDescent="0.3">
      <c r="A13" s="86" t="s">
        <v>45</v>
      </c>
      <c r="B13" s="87" t="s">
        <v>12</v>
      </c>
      <c r="C13" s="87">
        <v>9</v>
      </c>
      <c r="D13" s="88" t="s">
        <v>37</v>
      </c>
      <c r="E13" s="87">
        <v>300</v>
      </c>
      <c r="F13" s="93">
        <f t="shared" si="1"/>
        <v>24105</v>
      </c>
      <c r="H13" s="97">
        <f t="shared" si="2"/>
        <v>100</v>
      </c>
      <c r="I13" s="97">
        <f t="shared" si="3"/>
        <v>100</v>
      </c>
      <c r="J13" s="97">
        <f t="shared" si="4"/>
        <v>100</v>
      </c>
      <c r="K13" s="98">
        <f t="shared" si="5"/>
        <v>8034.9999999999991</v>
      </c>
      <c r="L13" s="98">
        <f t="shared" si="6"/>
        <v>8034.9999999999991</v>
      </c>
      <c r="M13" s="98">
        <f t="shared" si="7"/>
        <v>8034.9999999999991</v>
      </c>
    </row>
    <row r="14" spans="1:13" ht="16" thickBot="1" x14ac:dyDescent="0.3">
      <c r="A14" s="86" t="s">
        <v>46</v>
      </c>
      <c r="B14" s="87" t="s">
        <v>12</v>
      </c>
      <c r="C14" s="87">
        <v>9</v>
      </c>
      <c r="D14" s="88" t="s">
        <v>47</v>
      </c>
      <c r="E14" s="89">
        <v>18000</v>
      </c>
      <c r="F14" s="93">
        <f t="shared" si="1"/>
        <v>1446300</v>
      </c>
      <c r="H14" s="97">
        <f t="shared" si="2"/>
        <v>6000</v>
      </c>
      <c r="I14" s="97">
        <f t="shared" si="3"/>
        <v>6000</v>
      </c>
      <c r="J14" s="97">
        <f t="shared" si="4"/>
        <v>6000</v>
      </c>
      <c r="K14" s="98">
        <f t="shared" si="5"/>
        <v>482099.99999999994</v>
      </c>
      <c r="L14" s="98">
        <f t="shared" si="6"/>
        <v>482099.99999999994</v>
      </c>
      <c r="M14" s="98">
        <f t="shared" si="7"/>
        <v>482099.99999999994</v>
      </c>
    </row>
    <row r="15" spans="1:13" ht="16" thickBot="1" x14ac:dyDescent="0.3">
      <c r="A15" s="91" t="s">
        <v>48</v>
      </c>
      <c r="B15" s="87" t="s">
        <v>15</v>
      </c>
      <c r="C15" s="87">
        <v>10</v>
      </c>
      <c r="D15" s="90" t="s">
        <v>37</v>
      </c>
      <c r="E15" s="87">
        <v>300</v>
      </c>
      <c r="F15" s="93">
        <f t="shared" si="1"/>
        <v>24105</v>
      </c>
      <c r="H15" s="97">
        <f t="shared" si="2"/>
        <v>100</v>
      </c>
      <c r="I15" s="97">
        <f t="shared" si="3"/>
        <v>100</v>
      </c>
      <c r="J15" s="97">
        <f t="shared" si="4"/>
        <v>100</v>
      </c>
      <c r="K15" s="98">
        <f t="shared" si="5"/>
        <v>8034.9999999999991</v>
      </c>
      <c r="L15" s="98">
        <f t="shared" si="6"/>
        <v>8034.9999999999991</v>
      </c>
      <c r="M15" s="98">
        <f t="shared" si="7"/>
        <v>8034.9999999999991</v>
      </c>
    </row>
    <row r="16" spans="1:13" ht="31.5" thickBot="1" x14ac:dyDescent="0.3">
      <c r="A16" s="91" t="s">
        <v>49</v>
      </c>
      <c r="B16" s="87" t="s">
        <v>16</v>
      </c>
      <c r="C16" s="87">
        <v>3</v>
      </c>
      <c r="D16" s="90" t="s">
        <v>95</v>
      </c>
      <c r="E16" s="87">
        <v>300</v>
      </c>
      <c r="F16" s="93">
        <f t="shared" si="1"/>
        <v>24105</v>
      </c>
      <c r="H16" s="97">
        <f t="shared" si="2"/>
        <v>100</v>
      </c>
      <c r="I16" s="97">
        <f t="shared" si="3"/>
        <v>100</v>
      </c>
      <c r="J16" s="97">
        <f t="shared" si="4"/>
        <v>100</v>
      </c>
      <c r="K16" s="98">
        <f t="shared" si="5"/>
        <v>8034.9999999999991</v>
      </c>
      <c r="L16" s="98">
        <f t="shared" si="6"/>
        <v>8034.9999999999991</v>
      </c>
      <c r="M16" s="98">
        <f t="shared" si="7"/>
        <v>8034.9999999999991</v>
      </c>
    </row>
    <row r="17" spans="1:13" ht="16" thickBot="1" x14ac:dyDescent="0.3">
      <c r="A17" s="91" t="s">
        <v>51</v>
      </c>
      <c r="B17" s="87" t="s">
        <v>17</v>
      </c>
      <c r="C17" s="87">
        <v>8</v>
      </c>
      <c r="D17" s="90" t="s">
        <v>37</v>
      </c>
      <c r="E17" s="87">
        <v>300</v>
      </c>
      <c r="F17" s="93">
        <f t="shared" si="1"/>
        <v>24105</v>
      </c>
      <c r="H17" s="97">
        <f t="shared" si="2"/>
        <v>100</v>
      </c>
      <c r="I17" s="97">
        <f t="shared" si="3"/>
        <v>100</v>
      </c>
      <c r="J17" s="97">
        <f t="shared" si="4"/>
        <v>100</v>
      </c>
      <c r="K17" s="98">
        <f t="shared" si="5"/>
        <v>8034.9999999999991</v>
      </c>
      <c r="L17" s="98">
        <f t="shared" si="6"/>
        <v>8034.9999999999991</v>
      </c>
      <c r="M17" s="98">
        <f t="shared" si="7"/>
        <v>8034.9999999999991</v>
      </c>
    </row>
    <row r="18" spans="1:13" ht="16" thickBot="1" x14ac:dyDescent="0.3">
      <c r="A18" s="91" t="s">
        <v>52</v>
      </c>
      <c r="B18" s="87" t="s">
        <v>17</v>
      </c>
      <c r="C18" s="87">
        <v>8</v>
      </c>
      <c r="D18" s="90" t="s">
        <v>37</v>
      </c>
      <c r="E18" s="95">
        <v>300</v>
      </c>
      <c r="F18" s="96">
        <f t="shared" si="1"/>
        <v>24105</v>
      </c>
      <c r="H18" s="97">
        <f t="shared" si="2"/>
        <v>100</v>
      </c>
      <c r="I18" s="97">
        <f t="shared" si="3"/>
        <v>100</v>
      </c>
      <c r="J18" s="97">
        <f t="shared" si="4"/>
        <v>100</v>
      </c>
      <c r="K18" s="98">
        <f t="shared" si="5"/>
        <v>8034.9999999999991</v>
      </c>
      <c r="L18" s="98">
        <f t="shared" si="6"/>
        <v>8034.9999999999991</v>
      </c>
      <c r="M18" s="98">
        <f t="shared" si="7"/>
        <v>8034.9999999999991</v>
      </c>
    </row>
    <row r="19" spans="1:13" ht="16" thickBot="1" x14ac:dyDescent="0.3">
      <c r="A19" s="91" t="s">
        <v>53</v>
      </c>
      <c r="B19" s="87"/>
      <c r="C19" s="87"/>
      <c r="D19" s="88"/>
      <c r="E19" s="108">
        <f>SUM(E7:E18)</f>
        <v>74700</v>
      </c>
      <c r="F19" s="123">
        <f>SUM(F7:F18)</f>
        <v>6002145</v>
      </c>
      <c r="H19" s="51">
        <f>SUM(H7:H18)</f>
        <v>24900</v>
      </c>
      <c r="I19" s="51">
        <f t="shared" ref="I19:J19" si="8">SUM(I7:I18)</f>
        <v>24900</v>
      </c>
      <c r="J19" s="51">
        <f t="shared" si="8"/>
        <v>24900</v>
      </c>
      <c r="K19" s="103">
        <f t="shared" si="5"/>
        <v>2000714.9999999998</v>
      </c>
      <c r="L19" s="103">
        <f t="shared" si="6"/>
        <v>2000714.9999999998</v>
      </c>
      <c r="M19" s="103">
        <f t="shared" si="7"/>
        <v>2000714.9999999998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0"/>
  <sheetViews>
    <sheetView topLeftCell="A38" workbookViewId="0">
      <selection activeCell="C54" sqref="C54"/>
    </sheetView>
  </sheetViews>
  <sheetFormatPr defaultRowHeight="12.5" x14ac:dyDescent="0.25"/>
  <cols>
    <col min="1" max="1" width="41.7265625" customWidth="1"/>
    <col min="4" max="4" width="11.26953125" customWidth="1"/>
    <col min="7" max="7" width="14" customWidth="1"/>
    <col min="8" max="8" width="1.453125" customWidth="1"/>
    <col min="9" max="9" width="15.81640625" customWidth="1"/>
    <col min="10" max="10" width="14.7265625" customWidth="1"/>
    <col min="12" max="12" width="2" customWidth="1"/>
    <col min="13" max="13" width="18.1796875" customWidth="1"/>
  </cols>
  <sheetData>
    <row r="3" spans="1:14" ht="12.75" customHeight="1" x14ac:dyDescent="0.25">
      <c r="B3" s="144" t="s">
        <v>96</v>
      </c>
      <c r="C3" s="144"/>
      <c r="D3" s="144"/>
      <c r="E3" s="144"/>
      <c r="F3" s="144"/>
      <c r="G3" s="144"/>
      <c r="I3" s="144" t="s">
        <v>97</v>
      </c>
      <c r="J3" s="144"/>
      <c r="K3" s="144"/>
      <c r="L3" s="58"/>
      <c r="M3" s="145" t="s">
        <v>98</v>
      </c>
      <c r="N3" s="57"/>
    </row>
    <row r="4" spans="1:14" ht="57.75" customHeight="1" x14ac:dyDescent="0.3">
      <c r="A4" s="59" t="s">
        <v>99</v>
      </c>
      <c r="B4" s="54" t="s">
        <v>100</v>
      </c>
      <c r="C4" s="54" t="s">
        <v>101</v>
      </c>
      <c r="D4" s="54" t="s">
        <v>102</v>
      </c>
      <c r="E4" s="54" t="s">
        <v>103</v>
      </c>
      <c r="F4" s="54" t="s">
        <v>104</v>
      </c>
      <c r="G4" s="55" t="s">
        <v>105</v>
      </c>
      <c r="H4" s="53"/>
      <c r="I4" s="54" t="s">
        <v>106</v>
      </c>
      <c r="J4" s="54" t="s">
        <v>107</v>
      </c>
      <c r="K4" s="54" t="s">
        <v>108</v>
      </c>
      <c r="M4" s="146"/>
    </row>
    <row r="5" spans="1:14" x14ac:dyDescent="0.25">
      <c r="A5" s="18"/>
      <c r="B5" s="18"/>
      <c r="C5" s="18"/>
      <c r="D5" s="18"/>
      <c r="E5" s="18"/>
      <c r="F5" s="18"/>
      <c r="G5" s="18"/>
      <c r="I5" s="18"/>
      <c r="J5" s="18"/>
      <c r="K5" s="18"/>
      <c r="M5" s="18"/>
    </row>
    <row r="6" spans="1:14" x14ac:dyDescent="0.25">
      <c r="A6" s="18" t="s">
        <v>109</v>
      </c>
      <c r="B6" s="18"/>
      <c r="C6" s="18"/>
      <c r="D6" s="18"/>
      <c r="E6" s="18"/>
      <c r="F6" s="18"/>
      <c r="G6" s="18"/>
      <c r="I6" s="18"/>
      <c r="J6" s="18"/>
      <c r="K6" s="18"/>
      <c r="M6" s="18"/>
    </row>
    <row r="7" spans="1:14" x14ac:dyDescent="0.25">
      <c r="A7" s="18"/>
      <c r="B7" s="18"/>
      <c r="C7" s="18"/>
      <c r="D7" s="18"/>
      <c r="E7" s="18"/>
      <c r="F7" s="18"/>
      <c r="G7" s="18"/>
      <c r="I7" s="18"/>
      <c r="J7" s="18"/>
      <c r="K7" s="18"/>
      <c r="M7" s="18"/>
    </row>
    <row r="8" spans="1:14" ht="25" x14ac:dyDescent="0.25">
      <c r="A8" s="60" t="s">
        <v>110</v>
      </c>
      <c r="B8" s="18"/>
      <c r="C8" s="18"/>
      <c r="D8" s="18"/>
      <c r="E8" s="18"/>
      <c r="F8" s="18"/>
      <c r="G8" s="18"/>
      <c r="I8" s="18"/>
      <c r="J8" s="18"/>
      <c r="K8" s="18"/>
      <c r="M8" s="18"/>
    </row>
    <row r="9" spans="1:14" x14ac:dyDescent="0.25">
      <c r="A9" s="18"/>
      <c r="B9" s="18"/>
      <c r="C9" s="18"/>
      <c r="D9" s="18"/>
      <c r="E9" s="18"/>
      <c r="F9" s="18"/>
      <c r="G9" s="18"/>
      <c r="I9" s="18"/>
      <c r="J9" s="18"/>
      <c r="K9" s="18"/>
      <c r="M9" s="18"/>
    </row>
    <row r="10" spans="1:14" x14ac:dyDescent="0.25">
      <c r="A10" s="61" t="s">
        <v>111</v>
      </c>
      <c r="B10" s="56">
        <v>33.340000000000003</v>
      </c>
      <c r="C10" s="56">
        <v>47.51</v>
      </c>
      <c r="D10" s="56"/>
      <c r="E10" s="56">
        <v>22.17</v>
      </c>
      <c r="F10" s="18"/>
      <c r="G10" s="18"/>
      <c r="I10" s="18"/>
      <c r="J10" s="18"/>
      <c r="K10" s="18"/>
      <c r="M10" s="18"/>
    </row>
    <row r="11" spans="1:14" x14ac:dyDescent="0.25">
      <c r="A11" s="18"/>
      <c r="B11" s="18"/>
      <c r="C11" s="18"/>
      <c r="D11" s="18"/>
      <c r="E11" s="18"/>
      <c r="F11" s="18"/>
      <c r="G11" s="18"/>
      <c r="I11" s="18"/>
      <c r="J11" s="18"/>
      <c r="K11" s="18"/>
      <c r="M11" s="18"/>
    </row>
    <row r="12" spans="1:14" x14ac:dyDescent="0.25">
      <c r="A12" s="61" t="s">
        <v>112</v>
      </c>
      <c r="B12" s="56">
        <f>B10</f>
        <v>33.340000000000003</v>
      </c>
      <c r="C12" s="18"/>
      <c r="D12" s="56">
        <f>C10/11</f>
        <v>4.3190909090909093</v>
      </c>
      <c r="E12" s="18"/>
      <c r="F12" s="56">
        <f>E10/8</f>
        <v>2.7712500000000002</v>
      </c>
      <c r="G12" s="18"/>
      <c r="I12" s="18"/>
      <c r="J12" s="18"/>
      <c r="K12" s="18"/>
      <c r="M12" s="18"/>
    </row>
    <row r="13" spans="1:14" x14ac:dyDescent="0.25">
      <c r="A13" s="18"/>
      <c r="B13" s="18"/>
      <c r="C13" s="18"/>
      <c r="D13" s="18"/>
      <c r="E13" s="18"/>
      <c r="F13" s="18"/>
      <c r="G13" s="18"/>
      <c r="I13" s="18"/>
      <c r="J13" s="18"/>
      <c r="K13" s="18"/>
      <c r="M13" s="18"/>
    </row>
    <row r="14" spans="1:14" x14ac:dyDescent="0.25">
      <c r="A14" s="61" t="s">
        <v>105</v>
      </c>
      <c r="B14" s="18"/>
      <c r="C14" s="18"/>
      <c r="D14" s="18"/>
      <c r="E14" s="18"/>
      <c r="F14" s="18"/>
      <c r="G14" s="56">
        <f>B12+D12+F12</f>
        <v>40.430340909090916</v>
      </c>
      <c r="I14" s="56">
        <f>G14*0.16</f>
        <v>6.4688545454545467</v>
      </c>
      <c r="J14" s="56">
        <f>G14*0.1</f>
        <v>4.0430340909090914</v>
      </c>
      <c r="K14" s="56">
        <f>G14*0.32</f>
        <v>12.937709090909093</v>
      </c>
      <c r="M14" s="62">
        <f>G14+I14+J14+K14</f>
        <v>63.879938636363647</v>
      </c>
    </row>
    <row r="15" spans="1:14" x14ac:dyDescent="0.25">
      <c r="J15" t="s">
        <v>71</v>
      </c>
      <c r="K15" s="52">
        <f>I14+J14+K14</f>
        <v>23.449597727272732</v>
      </c>
      <c r="M15" s="65"/>
    </row>
    <row r="16" spans="1:14" x14ac:dyDescent="0.25">
      <c r="D16" s="67" t="s">
        <v>113</v>
      </c>
      <c r="M16" s="65"/>
    </row>
    <row r="17" spans="1:13" x14ac:dyDescent="0.25">
      <c r="G17" s="62">
        <v>41.2</v>
      </c>
      <c r="I17" s="62">
        <f>G17*0.16</f>
        <v>6.5920000000000005</v>
      </c>
      <c r="J17" s="62">
        <f>G17*0.1</f>
        <v>4.12</v>
      </c>
      <c r="K17" s="62">
        <f>G17*0.32</f>
        <v>13.184000000000001</v>
      </c>
      <c r="M17" s="66">
        <f>G17+I17+J17+K17</f>
        <v>65.096000000000004</v>
      </c>
    </row>
    <row r="18" spans="1:13" x14ac:dyDescent="0.25">
      <c r="G18" s="64"/>
      <c r="H18" s="65"/>
      <c r="I18" s="64"/>
      <c r="J18" t="s">
        <v>71</v>
      </c>
      <c r="K18" s="52">
        <f>I17+J17+K17</f>
        <v>23.896000000000001</v>
      </c>
      <c r="L18" s="65"/>
      <c r="M18" s="64"/>
    </row>
    <row r="19" spans="1:13" x14ac:dyDescent="0.25">
      <c r="G19" s="64"/>
      <c r="H19" s="65"/>
      <c r="I19" s="64"/>
      <c r="J19" s="64"/>
      <c r="K19" s="64"/>
      <c r="L19" s="65"/>
      <c r="M19" s="64"/>
    </row>
    <row r="20" spans="1:13" x14ac:dyDescent="0.25">
      <c r="G20" s="64"/>
      <c r="H20" s="65"/>
      <c r="I20" s="64"/>
      <c r="J20" s="64"/>
      <c r="K20" s="64"/>
      <c r="L20" s="65"/>
      <c r="M20" s="64"/>
    </row>
    <row r="21" spans="1:13" x14ac:dyDescent="0.25">
      <c r="G21" s="64"/>
      <c r="H21" s="65"/>
      <c r="I21" s="64"/>
      <c r="J21" s="64"/>
      <c r="K21" s="64"/>
      <c r="L21" s="65"/>
      <c r="M21" s="64"/>
    </row>
    <row r="22" spans="1:13" ht="13" x14ac:dyDescent="0.25">
      <c r="B22" s="144" t="s">
        <v>114</v>
      </c>
      <c r="C22" s="144"/>
      <c r="D22" s="144"/>
      <c r="E22" s="144"/>
      <c r="F22" s="144"/>
      <c r="G22" s="147"/>
      <c r="I22" s="147" t="s">
        <v>115</v>
      </c>
      <c r="J22" s="147"/>
      <c r="K22" s="147"/>
      <c r="L22" s="63"/>
      <c r="M22" s="148" t="s">
        <v>116</v>
      </c>
    </row>
    <row r="23" spans="1:13" ht="50" x14ac:dyDescent="0.3">
      <c r="A23" s="59" t="s">
        <v>99</v>
      </c>
      <c r="B23" s="54" t="s">
        <v>100</v>
      </c>
      <c r="C23" s="54" t="s">
        <v>101</v>
      </c>
      <c r="D23" s="54" t="s">
        <v>102</v>
      </c>
      <c r="E23" s="54" t="s">
        <v>103</v>
      </c>
      <c r="F23" s="54" t="s">
        <v>104</v>
      </c>
      <c r="G23" s="55" t="s">
        <v>105</v>
      </c>
      <c r="H23" s="53"/>
      <c r="I23" s="54" t="s">
        <v>106</v>
      </c>
      <c r="J23" s="54" t="s">
        <v>107</v>
      </c>
      <c r="K23" s="54" t="s">
        <v>108</v>
      </c>
      <c r="M23" s="146"/>
    </row>
    <row r="24" spans="1:13" x14ac:dyDescent="0.25">
      <c r="A24" s="18"/>
      <c r="B24" s="18"/>
      <c r="C24" s="18"/>
      <c r="D24" s="18"/>
      <c r="E24" s="18"/>
      <c r="F24" s="18"/>
      <c r="G24" s="18"/>
      <c r="I24" s="18"/>
      <c r="J24" s="18"/>
      <c r="K24" s="18"/>
      <c r="M24" s="18"/>
    </row>
    <row r="25" spans="1:13" x14ac:dyDescent="0.25">
      <c r="A25" s="18" t="s">
        <v>109</v>
      </c>
      <c r="B25" s="56">
        <v>34.74</v>
      </c>
      <c r="C25" s="56">
        <v>49.51</v>
      </c>
      <c r="D25" s="56"/>
      <c r="E25" s="56">
        <v>23.1</v>
      </c>
      <c r="F25" s="18"/>
      <c r="G25" s="18"/>
      <c r="I25" s="18"/>
      <c r="J25" s="18"/>
      <c r="K25" s="18"/>
      <c r="M25" s="18"/>
    </row>
    <row r="26" spans="1:13" x14ac:dyDescent="0.25">
      <c r="A26" s="18"/>
      <c r="B26" s="56"/>
      <c r="C26" s="56"/>
      <c r="D26" s="56"/>
      <c r="E26" s="56"/>
      <c r="F26" s="18"/>
      <c r="G26" s="18"/>
      <c r="I26" s="18"/>
      <c r="J26" s="18"/>
      <c r="K26" s="18"/>
      <c r="M26" s="18"/>
    </row>
    <row r="27" spans="1:13" ht="25" x14ac:dyDescent="0.25">
      <c r="A27" s="60" t="s">
        <v>110</v>
      </c>
      <c r="B27" s="56">
        <v>31.93</v>
      </c>
      <c r="C27" s="56">
        <v>45.51</v>
      </c>
      <c r="D27" s="56"/>
      <c r="E27" s="56">
        <v>21.23</v>
      </c>
      <c r="F27" s="18"/>
      <c r="G27" s="18"/>
      <c r="I27" s="18"/>
      <c r="J27" s="18"/>
      <c r="K27" s="18"/>
      <c r="M27" s="18"/>
    </row>
    <row r="28" spans="1:13" x14ac:dyDescent="0.25">
      <c r="A28" s="18"/>
      <c r="B28" s="18"/>
      <c r="C28" s="18"/>
      <c r="D28" s="18"/>
      <c r="E28" s="18"/>
      <c r="F28" s="18"/>
      <c r="G28" s="18"/>
      <c r="I28" s="18"/>
      <c r="J28" s="18"/>
      <c r="K28" s="18"/>
      <c r="M28" s="18"/>
    </row>
    <row r="29" spans="1:13" x14ac:dyDescent="0.25">
      <c r="A29" s="61" t="s">
        <v>111</v>
      </c>
      <c r="B29" s="56">
        <f>(B25+B27)/2</f>
        <v>33.335000000000001</v>
      </c>
      <c r="C29" s="56">
        <f>(C25+C27)/2</f>
        <v>47.51</v>
      </c>
      <c r="D29" s="56"/>
      <c r="E29" s="56">
        <f>(E25+E27)/2</f>
        <v>22.164999999999999</v>
      </c>
      <c r="F29" s="18"/>
      <c r="G29" s="18"/>
      <c r="I29" s="18"/>
      <c r="J29" s="18"/>
      <c r="K29" s="18"/>
      <c r="M29" s="18"/>
    </row>
    <row r="30" spans="1:13" x14ac:dyDescent="0.25">
      <c r="A30" s="18"/>
      <c r="B30" s="18"/>
      <c r="C30" s="18"/>
      <c r="D30" s="18"/>
      <c r="E30" s="18"/>
      <c r="F30" s="18"/>
      <c r="G30" s="18"/>
      <c r="I30" s="18"/>
      <c r="J30" s="18"/>
      <c r="K30" s="18"/>
      <c r="M30" s="18"/>
    </row>
    <row r="31" spans="1:13" x14ac:dyDescent="0.25">
      <c r="A31" s="61" t="s">
        <v>112</v>
      </c>
      <c r="B31" s="56">
        <f>B29</f>
        <v>33.335000000000001</v>
      </c>
      <c r="C31" s="18"/>
      <c r="D31" s="56">
        <f>C29/11</f>
        <v>4.3190909090909093</v>
      </c>
      <c r="E31" s="18"/>
      <c r="F31" s="56">
        <f>E29/8</f>
        <v>2.7706249999999999</v>
      </c>
      <c r="G31" s="18"/>
      <c r="I31" s="18"/>
      <c r="J31" s="18"/>
      <c r="K31" s="18"/>
      <c r="M31" s="18"/>
    </row>
    <row r="32" spans="1:13" x14ac:dyDescent="0.25">
      <c r="A32" s="18"/>
      <c r="B32" s="18"/>
      <c r="C32" s="18"/>
      <c r="D32" s="18"/>
      <c r="E32" s="18"/>
      <c r="F32" s="18"/>
      <c r="G32" s="18"/>
      <c r="I32" s="18"/>
      <c r="J32" s="18"/>
      <c r="K32" s="18"/>
      <c r="M32" s="18"/>
    </row>
    <row r="33" spans="1:13" x14ac:dyDescent="0.25">
      <c r="A33" s="61" t="s">
        <v>105</v>
      </c>
      <c r="B33" s="18"/>
      <c r="C33" s="18"/>
      <c r="D33" s="18"/>
      <c r="E33" s="18"/>
      <c r="F33" s="18"/>
      <c r="G33" s="56">
        <f>B31+D31+F31</f>
        <v>40.424715909090914</v>
      </c>
      <c r="I33" s="56">
        <f>G33*0.16</f>
        <v>6.4679545454545462</v>
      </c>
      <c r="J33" s="56">
        <f>G33*0.1</f>
        <v>4.0424715909090914</v>
      </c>
      <c r="K33" s="56">
        <f>G33*0.32</f>
        <v>12.935909090909092</v>
      </c>
      <c r="M33" s="56">
        <f>G33+I33+J33+K33</f>
        <v>63.871051136363647</v>
      </c>
    </row>
    <row r="34" spans="1:13" x14ac:dyDescent="0.25">
      <c r="J34" t="s">
        <v>71</v>
      </c>
      <c r="K34" s="52">
        <f>I33+J33+K33</f>
        <v>23.44633522727273</v>
      </c>
    </row>
    <row r="37" spans="1:13" x14ac:dyDescent="0.25">
      <c r="G37" s="64"/>
      <c r="H37" s="65"/>
      <c r="I37" s="64"/>
      <c r="J37" s="64"/>
      <c r="K37" s="64"/>
      <c r="L37" s="65"/>
      <c r="M37" s="64"/>
    </row>
    <row r="38" spans="1:13" ht="13" x14ac:dyDescent="0.25">
      <c r="B38" s="140" t="s">
        <v>117</v>
      </c>
      <c r="C38" s="140"/>
      <c r="D38" s="140"/>
      <c r="E38" s="140"/>
      <c r="F38" s="140"/>
      <c r="G38" s="141"/>
      <c r="I38" s="141" t="s">
        <v>118</v>
      </c>
      <c r="J38" s="141"/>
      <c r="K38" s="141"/>
      <c r="L38" s="63"/>
      <c r="M38" s="142" t="s">
        <v>119</v>
      </c>
    </row>
    <row r="39" spans="1:13" ht="50" x14ac:dyDescent="0.3">
      <c r="A39" s="59" t="s">
        <v>99</v>
      </c>
      <c r="B39" s="54" t="s">
        <v>100</v>
      </c>
      <c r="C39" s="54" t="s">
        <v>101</v>
      </c>
      <c r="D39" s="54" t="s">
        <v>102</v>
      </c>
      <c r="E39" s="54" t="s">
        <v>103</v>
      </c>
      <c r="F39" s="54" t="s">
        <v>104</v>
      </c>
      <c r="G39" s="55" t="s">
        <v>105</v>
      </c>
      <c r="H39" s="53"/>
      <c r="I39" s="54" t="s">
        <v>106</v>
      </c>
      <c r="J39" s="54" t="s">
        <v>107</v>
      </c>
      <c r="K39" s="54" t="s">
        <v>108</v>
      </c>
      <c r="M39" s="143"/>
    </row>
    <row r="40" spans="1:13" x14ac:dyDescent="0.25">
      <c r="A40" s="18"/>
      <c r="B40" s="18"/>
      <c r="C40" s="18"/>
      <c r="D40" s="18"/>
      <c r="E40" s="18"/>
      <c r="F40" s="18"/>
      <c r="G40" s="18"/>
      <c r="I40" s="18"/>
      <c r="J40" s="18"/>
      <c r="K40" s="18"/>
      <c r="M40" s="18"/>
    </row>
    <row r="41" spans="1:13" x14ac:dyDescent="0.25">
      <c r="A41" s="18" t="s">
        <v>109</v>
      </c>
      <c r="B41" s="56">
        <v>43.7</v>
      </c>
      <c r="C41" s="56">
        <v>62.29</v>
      </c>
      <c r="D41" s="56"/>
      <c r="E41" s="56">
        <v>29.06</v>
      </c>
      <c r="F41" s="18"/>
      <c r="G41" s="18"/>
      <c r="I41" s="18"/>
      <c r="J41" s="18"/>
      <c r="K41" s="18"/>
      <c r="M41" s="18"/>
    </row>
    <row r="42" spans="1:13" x14ac:dyDescent="0.25">
      <c r="A42" s="18"/>
      <c r="B42" s="56"/>
      <c r="C42" s="56"/>
      <c r="D42" s="56"/>
      <c r="E42" s="56"/>
      <c r="F42" s="18"/>
      <c r="G42" s="18"/>
      <c r="I42" s="18"/>
      <c r="J42" s="18"/>
      <c r="K42" s="18"/>
      <c r="M42" s="18"/>
    </row>
    <row r="43" spans="1:13" ht="25" x14ac:dyDescent="0.25">
      <c r="A43" s="60" t="s">
        <v>110</v>
      </c>
      <c r="B43" s="56">
        <v>40.17</v>
      </c>
      <c r="C43" s="56">
        <v>57.25</v>
      </c>
      <c r="D43" s="56"/>
      <c r="E43" s="56">
        <v>26.71</v>
      </c>
      <c r="F43" s="18"/>
      <c r="G43" s="18"/>
      <c r="I43" s="18"/>
      <c r="J43" s="18"/>
      <c r="K43" s="18"/>
      <c r="M43" s="18"/>
    </row>
    <row r="44" spans="1:13" x14ac:dyDescent="0.25">
      <c r="A44" s="18"/>
      <c r="B44" s="18"/>
      <c r="C44" s="18"/>
      <c r="D44" s="18"/>
      <c r="E44" s="18"/>
      <c r="F44" s="18"/>
      <c r="G44" s="18"/>
      <c r="I44" s="18"/>
      <c r="J44" s="18"/>
      <c r="K44" s="18"/>
      <c r="M44" s="18"/>
    </row>
    <row r="45" spans="1:13" x14ac:dyDescent="0.25">
      <c r="A45" s="61" t="s">
        <v>111</v>
      </c>
      <c r="B45" s="56">
        <f>(B41+B43)/2</f>
        <v>41.935000000000002</v>
      </c>
      <c r="C45" s="56">
        <f>(C41+C43)/2</f>
        <v>59.769999999999996</v>
      </c>
      <c r="D45" s="56"/>
      <c r="E45" s="56">
        <f>(E41+E43)/2</f>
        <v>27.884999999999998</v>
      </c>
      <c r="F45" s="18"/>
      <c r="G45" s="18"/>
      <c r="I45" s="18"/>
      <c r="J45" s="18"/>
      <c r="K45" s="18"/>
      <c r="M45" s="18"/>
    </row>
    <row r="46" spans="1:13" x14ac:dyDescent="0.25">
      <c r="A46" s="18"/>
      <c r="B46" s="18"/>
      <c r="C46" s="18"/>
      <c r="D46" s="18"/>
      <c r="E46" s="18"/>
      <c r="F46" s="18"/>
      <c r="G46" s="18"/>
      <c r="I46" s="18"/>
      <c r="J46" s="18"/>
      <c r="K46" s="18"/>
      <c r="M46" s="18"/>
    </row>
    <row r="47" spans="1:13" x14ac:dyDescent="0.25">
      <c r="A47" s="61" t="s">
        <v>112</v>
      </c>
      <c r="B47" s="56">
        <f>B45</f>
        <v>41.935000000000002</v>
      </c>
      <c r="C47" s="18"/>
      <c r="D47" s="56">
        <f>C45/11</f>
        <v>5.4336363636363636</v>
      </c>
      <c r="E47" s="18"/>
      <c r="F47" s="56">
        <f>E45/8</f>
        <v>3.4856249999999998</v>
      </c>
      <c r="G47" s="18"/>
      <c r="I47" s="18"/>
      <c r="J47" s="18"/>
      <c r="K47" s="18"/>
      <c r="M47" s="18"/>
    </row>
    <row r="48" spans="1:13" x14ac:dyDescent="0.25">
      <c r="A48" s="18"/>
      <c r="B48" s="18"/>
      <c r="C48" s="18"/>
      <c r="D48" s="18"/>
      <c r="E48" s="18"/>
      <c r="F48" s="18"/>
      <c r="G48" s="18"/>
      <c r="I48" s="18"/>
      <c r="J48" s="18"/>
      <c r="K48" s="18"/>
      <c r="M48" s="18"/>
    </row>
    <row r="49" spans="1:13" x14ac:dyDescent="0.25">
      <c r="A49" s="61" t="s">
        <v>105</v>
      </c>
      <c r="B49" s="18"/>
      <c r="C49" s="18"/>
      <c r="D49" s="18"/>
      <c r="E49" s="18"/>
      <c r="F49" s="18"/>
      <c r="G49" s="56">
        <f>B47+D47+F47</f>
        <v>50.854261363636368</v>
      </c>
      <c r="I49" s="56">
        <f>G49*0.16</f>
        <v>8.1366818181818186</v>
      </c>
      <c r="J49" s="56">
        <f>G49*0.1</f>
        <v>5.0854261363636368</v>
      </c>
      <c r="K49" s="56">
        <f>G49*0.32</f>
        <v>16.273363636363637</v>
      </c>
      <c r="M49" s="129">
        <f>G49+I49+J49+K49</f>
        <v>80.349732954545473</v>
      </c>
    </row>
    <row r="50" spans="1:13" x14ac:dyDescent="0.25">
      <c r="J50" t="s">
        <v>71</v>
      </c>
      <c r="K50" s="52">
        <f>I49+J49+K49</f>
        <v>29.495471590909091</v>
      </c>
    </row>
  </sheetData>
  <mergeCells count="9">
    <mergeCell ref="B38:G38"/>
    <mergeCell ref="I38:K38"/>
    <mergeCell ref="M38:M39"/>
    <mergeCell ref="B3:G3"/>
    <mergeCell ref="I3:K3"/>
    <mergeCell ref="M3:M4"/>
    <mergeCell ref="B22:G22"/>
    <mergeCell ref="I22:K22"/>
    <mergeCell ref="M22:M23"/>
  </mergeCells>
  <pageMargins left="0.7" right="0.7" top="0.75" bottom="0.75" header="0.3" footer="0.3"/>
  <pageSetup scale="7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2"/>
  <sheetViews>
    <sheetView zoomScaleNormal="100" workbookViewId="0">
      <selection activeCell="D14" sqref="D14"/>
    </sheetView>
  </sheetViews>
  <sheetFormatPr defaultRowHeight="12.5" x14ac:dyDescent="0.25"/>
  <cols>
    <col min="2" max="2" width="18" bestFit="1" customWidth="1"/>
    <col min="3" max="3" width="14.81640625" customWidth="1"/>
  </cols>
  <sheetData>
    <row r="1" spans="1:3" x14ac:dyDescent="0.25">
      <c r="A1" s="17" t="s">
        <v>120</v>
      </c>
      <c r="B1" s="17" t="s">
        <v>19</v>
      </c>
      <c r="C1" s="17" t="s">
        <v>20</v>
      </c>
    </row>
    <row r="2" spans="1:3" x14ac:dyDescent="0.25">
      <c r="A2" t="s">
        <v>10</v>
      </c>
      <c r="B2" s="17" t="s">
        <v>121</v>
      </c>
      <c r="C2">
        <v>10</v>
      </c>
    </row>
    <row r="3" spans="1:3" x14ac:dyDescent="0.25">
      <c r="A3" t="s">
        <v>122</v>
      </c>
      <c r="B3" s="17" t="s">
        <v>123</v>
      </c>
      <c r="C3">
        <v>4</v>
      </c>
    </row>
    <row r="4" spans="1:3" x14ac:dyDescent="0.25">
      <c r="A4" t="s">
        <v>124</v>
      </c>
      <c r="B4" s="17" t="s">
        <v>125</v>
      </c>
      <c r="C4">
        <v>6</v>
      </c>
    </row>
    <row r="5" spans="1:3" x14ac:dyDescent="0.25">
      <c r="A5" t="s">
        <v>11</v>
      </c>
      <c r="B5" s="17" t="s">
        <v>126</v>
      </c>
      <c r="C5">
        <v>9</v>
      </c>
    </row>
    <row r="6" spans="1:3" x14ac:dyDescent="0.25">
      <c r="A6" t="s">
        <v>12</v>
      </c>
      <c r="B6" s="17" t="s">
        <v>127</v>
      </c>
      <c r="C6">
        <v>9</v>
      </c>
    </row>
    <row r="7" spans="1:3" x14ac:dyDescent="0.25">
      <c r="A7" t="s">
        <v>128</v>
      </c>
      <c r="B7" s="17" t="s">
        <v>129</v>
      </c>
      <c r="C7">
        <v>8</v>
      </c>
    </row>
    <row r="8" spans="1:3" x14ac:dyDescent="0.25">
      <c r="A8" t="s">
        <v>130</v>
      </c>
      <c r="B8" s="17" t="s">
        <v>131</v>
      </c>
      <c r="C8">
        <v>1</v>
      </c>
    </row>
    <row r="9" spans="1:3" x14ac:dyDescent="0.25">
      <c r="A9" t="s">
        <v>132</v>
      </c>
      <c r="B9" s="17" t="s">
        <v>133</v>
      </c>
      <c r="C9">
        <v>3</v>
      </c>
    </row>
    <row r="10" spans="1:3" x14ac:dyDescent="0.25">
      <c r="A10" t="s">
        <v>134</v>
      </c>
      <c r="B10" s="17" t="s">
        <v>135</v>
      </c>
      <c r="C10">
        <v>3</v>
      </c>
    </row>
    <row r="11" spans="1:3" x14ac:dyDescent="0.25">
      <c r="A11" t="s">
        <v>136</v>
      </c>
      <c r="B11" s="17" t="s">
        <v>137</v>
      </c>
      <c r="C11">
        <v>4</v>
      </c>
    </row>
    <row r="12" spans="1:3" x14ac:dyDescent="0.25">
      <c r="A12" t="s">
        <v>138</v>
      </c>
      <c r="B12" s="17" t="s">
        <v>139</v>
      </c>
      <c r="C12">
        <v>4</v>
      </c>
    </row>
    <row r="13" spans="1:3" x14ac:dyDescent="0.25">
      <c r="A13" t="s">
        <v>140</v>
      </c>
      <c r="B13" s="17" t="s">
        <v>141</v>
      </c>
      <c r="C13">
        <v>9</v>
      </c>
    </row>
    <row r="14" spans="1:3" x14ac:dyDescent="0.25">
      <c r="A14" t="s">
        <v>142</v>
      </c>
      <c r="B14" s="17" t="s">
        <v>143</v>
      </c>
      <c r="C14">
        <v>7</v>
      </c>
    </row>
    <row r="15" spans="1:3" x14ac:dyDescent="0.25">
      <c r="A15" t="s">
        <v>13</v>
      </c>
      <c r="B15" s="17" t="s">
        <v>144</v>
      </c>
      <c r="C15">
        <v>10</v>
      </c>
    </row>
    <row r="16" spans="1:3" x14ac:dyDescent="0.25">
      <c r="A16" t="s">
        <v>145</v>
      </c>
      <c r="B16" s="17" t="s">
        <v>146</v>
      </c>
      <c r="C16">
        <v>5</v>
      </c>
    </row>
    <row r="17" spans="1:3" x14ac:dyDescent="0.25">
      <c r="A17" t="s">
        <v>147</v>
      </c>
      <c r="B17" s="17" t="s">
        <v>148</v>
      </c>
      <c r="C17">
        <v>5</v>
      </c>
    </row>
    <row r="18" spans="1:3" x14ac:dyDescent="0.25">
      <c r="A18" t="s">
        <v>149</v>
      </c>
      <c r="B18" s="17" t="s">
        <v>150</v>
      </c>
      <c r="C18">
        <v>7</v>
      </c>
    </row>
    <row r="19" spans="1:3" x14ac:dyDescent="0.25">
      <c r="A19" t="s">
        <v>151</v>
      </c>
      <c r="B19" s="17" t="s">
        <v>152</v>
      </c>
      <c r="C19">
        <v>4</v>
      </c>
    </row>
    <row r="20" spans="1:3" x14ac:dyDescent="0.25">
      <c r="A20" t="s">
        <v>153</v>
      </c>
      <c r="B20" s="17" t="s">
        <v>154</v>
      </c>
      <c r="C20">
        <v>6</v>
      </c>
    </row>
    <row r="21" spans="1:3" x14ac:dyDescent="0.25">
      <c r="A21" t="s">
        <v>155</v>
      </c>
      <c r="B21" s="17" t="s">
        <v>156</v>
      </c>
      <c r="C21">
        <v>1</v>
      </c>
    </row>
    <row r="22" spans="1:3" x14ac:dyDescent="0.25">
      <c r="A22" t="s">
        <v>157</v>
      </c>
      <c r="B22" s="17" t="s">
        <v>158</v>
      </c>
      <c r="C22">
        <v>1</v>
      </c>
    </row>
    <row r="23" spans="1:3" x14ac:dyDescent="0.25">
      <c r="A23" t="s">
        <v>159</v>
      </c>
      <c r="B23" s="17" t="s">
        <v>160</v>
      </c>
      <c r="C23">
        <v>3</v>
      </c>
    </row>
    <row r="24" spans="1:3" x14ac:dyDescent="0.25">
      <c r="A24" t="s">
        <v>161</v>
      </c>
      <c r="B24" s="17" t="s">
        <v>162</v>
      </c>
      <c r="C24">
        <v>5</v>
      </c>
    </row>
    <row r="25" spans="1:3" x14ac:dyDescent="0.25">
      <c r="A25" t="s">
        <v>163</v>
      </c>
      <c r="B25" s="17" t="s">
        <v>164</v>
      </c>
      <c r="C25">
        <v>5</v>
      </c>
    </row>
    <row r="26" spans="1:3" x14ac:dyDescent="0.25">
      <c r="A26" t="s">
        <v>165</v>
      </c>
      <c r="B26" s="17" t="s">
        <v>166</v>
      </c>
      <c r="C26">
        <v>7</v>
      </c>
    </row>
    <row r="27" spans="1:3" x14ac:dyDescent="0.25">
      <c r="A27" t="s">
        <v>167</v>
      </c>
      <c r="B27" s="17" t="s">
        <v>168</v>
      </c>
      <c r="C27">
        <v>4</v>
      </c>
    </row>
    <row r="28" spans="1:3" x14ac:dyDescent="0.25">
      <c r="A28" t="s">
        <v>14</v>
      </c>
      <c r="B28" s="17" t="s">
        <v>169</v>
      </c>
      <c r="C28">
        <v>8</v>
      </c>
    </row>
    <row r="29" spans="1:3" x14ac:dyDescent="0.25">
      <c r="A29" t="s">
        <v>170</v>
      </c>
      <c r="B29" s="17" t="s">
        <v>171</v>
      </c>
      <c r="C29">
        <v>4</v>
      </c>
    </row>
    <row r="30" spans="1:3" x14ac:dyDescent="0.25">
      <c r="A30" t="s">
        <v>172</v>
      </c>
      <c r="B30" s="17" t="s">
        <v>173</v>
      </c>
      <c r="C30">
        <v>8</v>
      </c>
    </row>
    <row r="31" spans="1:3" x14ac:dyDescent="0.25">
      <c r="A31" t="s">
        <v>174</v>
      </c>
      <c r="B31" s="17" t="s">
        <v>175</v>
      </c>
      <c r="C31">
        <v>7</v>
      </c>
    </row>
    <row r="32" spans="1:3" x14ac:dyDescent="0.25">
      <c r="A32" t="s">
        <v>176</v>
      </c>
      <c r="B32" s="17" t="s">
        <v>177</v>
      </c>
      <c r="C32">
        <v>1</v>
      </c>
    </row>
    <row r="33" spans="1:3" x14ac:dyDescent="0.25">
      <c r="A33" t="s">
        <v>178</v>
      </c>
      <c r="B33" s="17" t="s">
        <v>179</v>
      </c>
      <c r="C33">
        <v>2</v>
      </c>
    </row>
    <row r="34" spans="1:3" x14ac:dyDescent="0.25">
      <c r="A34" t="s">
        <v>180</v>
      </c>
      <c r="B34" s="17" t="s">
        <v>181</v>
      </c>
      <c r="C34">
        <v>6</v>
      </c>
    </row>
    <row r="35" spans="1:3" x14ac:dyDescent="0.25">
      <c r="A35" t="s">
        <v>182</v>
      </c>
      <c r="B35" s="17" t="s">
        <v>183</v>
      </c>
      <c r="C35">
        <v>9</v>
      </c>
    </row>
    <row r="36" spans="1:3" x14ac:dyDescent="0.25">
      <c r="A36" t="s">
        <v>184</v>
      </c>
      <c r="B36" s="17" t="s">
        <v>185</v>
      </c>
      <c r="C36">
        <v>2</v>
      </c>
    </row>
    <row r="37" spans="1:3" x14ac:dyDescent="0.25">
      <c r="A37" t="s">
        <v>186</v>
      </c>
      <c r="B37" s="17" t="s">
        <v>187</v>
      </c>
      <c r="C37">
        <v>5</v>
      </c>
    </row>
    <row r="38" spans="1:3" x14ac:dyDescent="0.25">
      <c r="A38" t="s">
        <v>188</v>
      </c>
      <c r="B38" s="17" t="s">
        <v>189</v>
      </c>
      <c r="C38">
        <v>6</v>
      </c>
    </row>
    <row r="39" spans="1:3" x14ac:dyDescent="0.25">
      <c r="A39" t="s">
        <v>15</v>
      </c>
      <c r="B39" s="17" t="s">
        <v>190</v>
      </c>
      <c r="C39">
        <v>10</v>
      </c>
    </row>
    <row r="40" spans="1:3" x14ac:dyDescent="0.25">
      <c r="A40" t="s">
        <v>16</v>
      </c>
      <c r="B40" s="17" t="s">
        <v>191</v>
      </c>
      <c r="C40">
        <v>3</v>
      </c>
    </row>
    <row r="41" spans="1:3" x14ac:dyDescent="0.25">
      <c r="A41" t="s">
        <v>192</v>
      </c>
      <c r="B41" s="17" t="s">
        <v>193</v>
      </c>
      <c r="C41">
        <v>1</v>
      </c>
    </row>
    <row r="42" spans="1:3" x14ac:dyDescent="0.25">
      <c r="A42" t="s">
        <v>194</v>
      </c>
      <c r="B42" s="17" t="s">
        <v>195</v>
      </c>
      <c r="C42">
        <v>4</v>
      </c>
    </row>
    <row r="43" spans="1:3" x14ac:dyDescent="0.25">
      <c r="A43" t="s">
        <v>196</v>
      </c>
      <c r="B43" s="17" t="s">
        <v>197</v>
      </c>
      <c r="C43">
        <v>8</v>
      </c>
    </row>
    <row r="44" spans="1:3" x14ac:dyDescent="0.25">
      <c r="A44" t="s">
        <v>198</v>
      </c>
      <c r="B44" s="17" t="s">
        <v>199</v>
      </c>
      <c r="C44">
        <v>4</v>
      </c>
    </row>
    <row r="45" spans="1:3" x14ac:dyDescent="0.25">
      <c r="A45" t="s">
        <v>200</v>
      </c>
      <c r="B45" s="17" t="s">
        <v>201</v>
      </c>
      <c r="C45">
        <v>6</v>
      </c>
    </row>
    <row r="46" spans="1:3" x14ac:dyDescent="0.25">
      <c r="A46" t="s">
        <v>17</v>
      </c>
      <c r="B46" s="17" t="s">
        <v>202</v>
      </c>
      <c r="C46">
        <v>8</v>
      </c>
    </row>
    <row r="47" spans="1:3" x14ac:dyDescent="0.25">
      <c r="A47" t="s">
        <v>203</v>
      </c>
      <c r="B47" s="17" t="s">
        <v>204</v>
      </c>
      <c r="C47">
        <v>1</v>
      </c>
    </row>
    <row r="48" spans="1:3" x14ac:dyDescent="0.25">
      <c r="A48" t="s">
        <v>205</v>
      </c>
      <c r="B48" s="17" t="s">
        <v>206</v>
      </c>
      <c r="C48">
        <v>3</v>
      </c>
    </row>
    <row r="49" spans="1:3" x14ac:dyDescent="0.25">
      <c r="A49" t="s">
        <v>207</v>
      </c>
      <c r="B49" s="17" t="s">
        <v>208</v>
      </c>
      <c r="C49">
        <v>10</v>
      </c>
    </row>
    <row r="50" spans="1:3" x14ac:dyDescent="0.25">
      <c r="A50" t="s">
        <v>209</v>
      </c>
      <c r="B50" s="17" t="s">
        <v>210</v>
      </c>
      <c r="C50">
        <v>5</v>
      </c>
    </row>
    <row r="51" spans="1:3" x14ac:dyDescent="0.25">
      <c r="A51" t="s">
        <v>211</v>
      </c>
      <c r="B51" s="17" t="s">
        <v>212</v>
      </c>
      <c r="C51">
        <v>3</v>
      </c>
    </row>
    <row r="52" spans="1:3" x14ac:dyDescent="0.25">
      <c r="A52" t="s">
        <v>213</v>
      </c>
      <c r="B52" s="17" t="s">
        <v>214</v>
      </c>
      <c r="C5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PM25 ICR summary</vt:lpstr>
      <vt:lpstr>PM25 by State</vt:lpstr>
      <vt:lpstr>PM25Reg sum</vt:lpstr>
      <vt:lpstr>PM25By Region</vt:lpstr>
      <vt:lpstr>PM25 Present Value Costs</vt:lpstr>
      <vt:lpstr>pm25annual</vt:lpstr>
      <vt:lpstr>Updated labor rates</vt:lpstr>
      <vt:lpstr>Reg lookup</vt:lpstr>
      <vt:lpstr>Abbn</vt:lpstr>
      <vt:lpstr>'Updated labor rates'!Print_Area</vt:lpstr>
      <vt:lpstr>'PM25 Present Value Costs'!Print_Titles</vt:lpstr>
      <vt:lpstr>Regionnum</vt:lpstr>
      <vt:lpstr>Regions</vt:lpstr>
      <vt:lpstr>State_abrv</vt:lpstr>
      <vt:lpstr>StateReg</vt:lpstr>
    </vt:vector>
  </TitlesOfParts>
  <Manager/>
  <Company>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Butch</dc:creator>
  <cp:keywords/>
  <dc:description/>
  <cp:lastModifiedBy>Herrington, Leigh</cp:lastModifiedBy>
  <cp:revision/>
  <dcterms:created xsi:type="dcterms:W3CDTF">2010-08-26T14:40:11Z</dcterms:created>
  <dcterms:modified xsi:type="dcterms:W3CDTF">2023-12-04T15:53:58Z</dcterms:modified>
  <cp:category/>
  <cp:contentStatus/>
</cp:coreProperties>
</file>