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Proposed CEP ICR/"/>
    </mc:Choice>
  </mc:AlternateContent>
  <xr:revisionPtr revIDLastSave="221" documentId="13_ncr:1_{09554C8E-B978-47E3-A43D-1D7CD6559563}" xr6:coauthVersionLast="47" xr6:coauthVersionMax="47" xr10:uidLastSave="{590B0DAC-D158-4D3C-91B5-2A2FE0944EF8}"/>
  <bookViews>
    <workbookView xWindow="-110" yWindow="-110" windowWidth="19420" windowHeight="10420" tabRatio="640" activeTab="1" xr2:uid="{00000000-000D-0000-FFFF-FFFF00000000}"/>
  </bookViews>
  <sheets>
    <sheet name="Reporting" sheetId="27" r:id="rId1"/>
    <sheet name="RecordKeeping" sheetId="8" r:id="rId2"/>
    <sheet name="Burden Summary" sheetId="4" r:id="rId3"/>
    <sheet name="60 Day Notice" sheetId="33" r:id="rId4"/>
  </sheets>
  <definedNames>
    <definedName name="_xlnm._FilterDatabase" localSheetId="1" hidden="1">RecordKeeping!$A$3:$L$12</definedName>
    <definedName name="_xlnm._FilterDatabase" localSheetId="0" hidden="1">Reporting!$A$4:$L$23</definedName>
    <definedName name="_msoanchor_1">#REF!</definedName>
    <definedName name="_xlnm.Print_Area" localSheetId="2">'Burden Summary'!$A$1:$F$15</definedName>
    <definedName name="_xlnm.Print_Area" localSheetId="1">RecordKeeping!$A$1:$L$20</definedName>
    <definedName name="_xlnm.Print_Area" localSheetId="0">Reporting!$A$2:$L$31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" l="1"/>
  <c r="J23" i="27"/>
  <c r="I15" i="27"/>
  <c r="K15" i="27" s="1"/>
  <c r="J17" i="27" l="1"/>
  <c r="I9" i="8"/>
  <c r="K9" i="8" s="1"/>
  <c r="L9" i="8" s="1"/>
  <c r="L21" i="27"/>
  <c r="K21" i="27"/>
  <c r="L13" i="27"/>
  <c r="K13" i="27"/>
  <c r="K9" i="27"/>
  <c r="I5" i="8"/>
  <c r="K5" i="8" s="1"/>
  <c r="L5" i="8" l="1"/>
  <c r="E22" i="27"/>
  <c r="E9" i="8" l="1"/>
  <c r="E14" i="27"/>
  <c r="E13" i="27"/>
  <c r="E12" i="27"/>
  <c r="E11" i="27"/>
  <c r="E10" i="27"/>
  <c r="G9" i="27" l="1"/>
  <c r="L6" i="8"/>
  <c r="G10" i="27"/>
  <c r="F5" i="8"/>
  <c r="E17" i="27" l="1"/>
  <c r="K6" i="8" l="1"/>
  <c r="B11" i="4" l="1"/>
  <c r="E11" i="8" l="1"/>
  <c r="G15" i="27"/>
  <c r="G21" i="27"/>
  <c r="I21" i="27" s="1"/>
  <c r="G20" i="27"/>
  <c r="I20" i="27" s="1"/>
  <c r="K20" i="27" s="1"/>
  <c r="G14" i="27"/>
  <c r="I14" i="27" s="1"/>
  <c r="K14" i="27" s="1"/>
  <c r="L14" i="27" s="1"/>
  <c r="G12" i="27"/>
  <c r="I12" i="27" s="1"/>
  <c r="K12" i="27" s="1"/>
  <c r="L12" i="27" s="1"/>
  <c r="G13" i="27"/>
  <c r="I13" i="27" s="1"/>
  <c r="G11" i="27"/>
  <c r="I11" i="27" s="1"/>
  <c r="K11" i="27" s="1"/>
  <c r="L11" i="27" s="1"/>
  <c r="I10" i="27"/>
  <c r="K10" i="27" s="1"/>
  <c r="G9" i="8"/>
  <c r="K22" i="27" l="1"/>
  <c r="L20" i="27"/>
  <c r="L22" i="27" s="1"/>
  <c r="L10" i="27"/>
  <c r="J22" i="27"/>
  <c r="G22" i="27"/>
  <c r="I22" i="27"/>
  <c r="G10" i="8"/>
  <c r="G11" i="8" s="1"/>
  <c r="D11" i="4" l="1"/>
  <c r="F22" i="27"/>
  <c r="C11" i="4" s="1"/>
  <c r="F11" i="4"/>
  <c r="H22" i="27"/>
  <c r="E11" i="4" s="1"/>
  <c r="B6" i="4"/>
  <c r="F6" i="27" l="1"/>
  <c r="J6" i="8" l="1"/>
  <c r="G16" i="27"/>
  <c r="I16" i="27" s="1"/>
  <c r="K16" i="27" s="1"/>
  <c r="K17" i="27" s="1"/>
  <c r="I6" i="27"/>
  <c r="I10" i="8"/>
  <c r="I9" i="27"/>
  <c r="L10" i="8" l="1"/>
  <c r="K10" i="8"/>
  <c r="K11" i="8" s="1"/>
  <c r="K12" i="8" s="1"/>
  <c r="J12" i="8"/>
  <c r="J7" i="27"/>
  <c r="J18" i="27" s="1"/>
  <c r="K6" i="27"/>
  <c r="K7" i="27" s="1"/>
  <c r="L9" i="27"/>
  <c r="L16" i="27"/>
  <c r="J11" i="8"/>
  <c r="I11" i="8"/>
  <c r="L11" i="8"/>
  <c r="D23" i="8"/>
  <c r="D22" i="8"/>
  <c r="D21" i="8"/>
  <c r="D20" i="8"/>
  <c r="D19" i="8"/>
  <c r="D18" i="8"/>
  <c r="D17" i="8"/>
  <c r="D32" i="27"/>
  <c r="K18" i="27" l="1"/>
  <c r="K23" i="27"/>
  <c r="E6" i="8"/>
  <c r="E12" i="8" s="1"/>
  <c r="E7" i="27"/>
  <c r="E23" i="27" l="1"/>
  <c r="E18" i="27"/>
  <c r="D31" i="27"/>
  <c r="G6" i="8" l="1"/>
  <c r="G12" i="8" l="1"/>
  <c r="E26" i="27"/>
  <c r="I7" i="27" l="1"/>
  <c r="G7" i="27"/>
  <c r="I6" i="8"/>
  <c r="H6" i="8" s="1"/>
  <c r="F11" i="8"/>
  <c r="C6" i="4" s="1"/>
  <c r="F6" i="8"/>
  <c r="D30" i="27"/>
  <c r="D29" i="27"/>
  <c r="D28" i="27"/>
  <c r="D27" i="27"/>
  <c r="D26" i="27"/>
  <c r="L25" i="27"/>
  <c r="I25" i="27"/>
  <c r="H25" i="27"/>
  <c r="G25" i="27"/>
  <c r="F25" i="27"/>
  <c r="E25" i="27"/>
  <c r="D25" i="27"/>
  <c r="D14" i="8"/>
  <c r="E14" i="8"/>
  <c r="E23" i="8"/>
  <c r="F23" i="8" s="1"/>
  <c r="E21" i="8"/>
  <c r="F21" i="8" s="1"/>
  <c r="E22" i="8"/>
  <c r="F22" i="8" s="1"/>
  <c r="H14" i="8"/>
  <c r="E20" i="8"/>
  <c r="D16" i="8"/>
  <c r="E18" i="8"/>
  <c r="D15" i="8"/>
  <c r="F14" i="8"/>
  <c r="G14" i="8"/>
  <c r="I14" i="8"/>
  <c r="L14" i="8"/>
  <c r="E15" i="8"/>
  <c r="B5" i="4"/>
  <c r="L12" i="8" l="1"/>
  <c r="I12" i="8"/>
  <c r="B7" i="4"/>
  <c r="H7" i="27"/>
  <c r="H11" i="8"/>
  <c r="E6" i="4" s="1"/>
  <c r="L7" i="27"/>
  <c r="F7" i="27"/>
  <c r="L16" i="8"/>
  <c r="G26" i="27"/>
  <c r="E28" i="27"/>
  <c r="B10" i="4"/>
  <c r="I22" i="8"/>
  <c r="G15" i="8"/>
  <c r="G16" i="8"/>
  <c r="I15" i="8"/>
  <c r="I16" i="8"/>
  <c r="G17" i="8"/>
  <c r="I17" i="8"/>
  <c r="L17" i="8"/>
  <c r="L22" i="8"/>
  <c r="G22" i="8"/>
  <c r="H22" i="8" s="1"/>
  <c r="L21" i="8"/>
  <c r="G20" i="8"/>
  <c r="I21" i="8"/>
  <c r="G21" i="8"/>
  <c r="H21" i="8" s="1"/>
  <c r="I20" i="8"/>
  <c r="L20" i="8"/>
  <c r="G19" i="8"/>
  <c r="H19" i="8" s="1"/>
  <c r="I19" i="8"/>
  <c r="L19" i="8"/>
  <c r="G18" i="8"/>
  <c r="F18" i="8" s="1"/>
  <c r="I18" i="8"/>
  <c r="L18" i="8"/>
  <c r="B9" i="4"/>
  <c r="E27" i="27"/>
  <c r="G28" i="27"/>
  <c r="I28" i="27"/>
  <c r="L28" i="27"/>
  <c r="E29" i="27"/>
  <c r="G29" i="27"/>
  <c r="I29" i="27"/>
  <c r="L29" i="27"/>
  <c r="E30" i="27"/>
  <c r="G30" i="27"/>
  <c r="I30" i="27"/>
  <c r="L30" i="27"/>
  <c r="E31" i="27"/>
  <c r="F31" i="27" s="1"/>
  <c r="G31" i="27"/>
  <c r="H31" i="27" s="1"/>
  <c r="I31" i="27"/>
  <c r="L31" i="27"/>
  <c r="E32" i="27"/>
  <c r="F32" i="27" s="1"/>
  <c r="G32" i="27"/>
  <c r="H32" i="27" s="1"/>
  <c r="I32" i="27"/>
  <c r="L32" i="27"/>
  <c r="L23" i="8"/>
  <c r="I23" i="8"/>
  <c r="G23" i="8"/>
  <c r="H23" i="8" s="1"/>
  <c r="E19" i="8"/>
  <c r="F19" i="8" s="1"/>
  <c r="E17" i="8"/>
  <c r="F17" i="8" s="1"/>
  <c r="E16" i="8"/>
  <c r="F6" i="4"/>
  <c r="D6" i="4"/>
  <c r="B14" i="4" l="1"/>
  <c r="B13" i="4"/>
  <c r="B12" i="4"/>
  <c r="F30" i="27"/>
  <c r="H30" i="27"/>
  <c r="H20" i="8"/>
  <c r="F20" i="8"/>
  <c r="H16" i="8"/>
  <c r="H15" i="8"/>
  <c r="F15" i="8"/>
  <c r="H18" i="8"/>
  <c r="H29" i="27"/>
  <c r="H28" i="27"/>
  <c r="F28" i="27"/>
  <c r="F29" i="27"/>
  <c r="H17" i="8"/>
  <c r="F26" i="27"/>
  <c r="F16" i="8"/>
  <c r="D5" i="4"/>
  <c r="D7" i="4" s="1"/>
  <c r="F5" i="4"/>
  <c r="F7" i="4" s="1"/>
  <c r="C9" i="4"/>
  <c r="D9" i="4"/>
  <c r="L15" i="8"/>
  <c r="L24" i="8" s="1"/>
  <c r="I24" i="8"/>
  <c r="G24" i="8"/>
  <c r="E24" i="8"/>
  <c r="E33" i="27"/>
  <c r="I26" i="27"/>
  <c r="H26" i="27" s="1"/>
  <c r="F24" i="8" l="1"/>
  <c r="C7" i="4"/>
  <c r="F12" i="8"/>
  <c r="F33" i="27"/>
  <c r="H24" i="8"/>
  <c r="E7" i="4"/>
  <c r="C5" i="4"/>
  <c r="E5" i="4"/>
  <c r="E9" i="4"/>
  <c r="F9" i="4"/>
  <c r="L26" i="27"/>
  <c r="B2" i="33" l="1"/>
  <c r="G27" i="27" l="1"/>
  <c r="F27" i="27" s="1"/>
  <c r="I27" i="27"/>
  <c r="I33" i="27" s="1"/>
  <c r="H27" i="27" l="1"/>
  <c r="H33" i="27" s="1"/>
  <c r="G33" i="27"/>
  <c r="L27" i="27" l="1"/>
  <c r="L33" i="27" s="1"/>
  <c r="G17" i="27" l="1"/>
  <c r="G23" i="27" l="1"/>
  <c r="F23" i="27" s="1"/>
  <c r="G18" i="27"/>
  <c r="L17" i="27"/>
  <c r="I17" i="27"/>
  <c r="D10" i="4"/>
  <c r="F17" i="27"/>
  <c r="L18" i="27" l="1"/>
  <c r="L23" i="27"/>
  <c r="B8" i="33" s="1"/>
  <c r="C10" i="4"/>
  <c r="F18" i="27"/>
  <c r="D12" i="4"/>
  <c r="D14" i="4" s="1"/>
  <c r="B4" i="33" s="1"/>
  <c r="D13" i="4"/>
  <c r="C13" i="4" s="1"/>
  <c r="I23" i="27"/>
  <c r="I18" i="27"/>
  <c r="F10" i="4"/>
  <c r="H17" i="27"/>
  <c r="H23" i="27" l="1"/>
  <c r="E10" i="4"/>
  <c r="H18" i="27"/>
  <c r="F12" i="4"/>
  <c r="F13" i="4"/>
  <c r="E13" i="4" s="1"/>
  <c r="C12" i="4"/>
  <c r="F14" i="4" l="1"/>
  <c r="B6" i="33" s="1"/>
  <c r="E12" i="4"/>
  <c r="C14" i="4"/>
  <c r="B3" i="33" s="1"/>
  <c r="E14" i="4" l="1"/>
  <c r="B5" i="33" s="1"/>
</calcChain>
</file>

<file path=xl/sharedStrings.xml><?xml version="1.0" encoding="utf-8"?>
<sst xmlns="http://schemas.openxmlformats.org/spreadsheetml/2006/main" count="129" uniqueCount="91">
  <si>
    <t xml:space="preserve">Reporting </t>
  </si>
  <si>
    <t>A</t>
  </si>
  <si>
    <t>B</t>
  </si>
  <si>
    <t>C = (A*B)</t>
  </si>
  <si>
    <t>D</t>
  </si>
  <si>
    <t>E= (C*D)</t>
  </si>
  <si>
    <t>F</t>
  </si>
  <si>
    <t>G</t>
  </si>
  <si>
    <t>H</t>
  </si>
  <si>
    <t>Program Rule</t>
  </si>
  <si>
    <t>CFR Citation</t>
  </si>
  <si>
    <t>Title</t>
  </si>
  <si>
    <t>Form Number</t>
  </si>
  <si>
    <t>Estimated # Respondents</t>
  </si>
  <si>
    <t>Responses per Respondents</t>
  </si>
  <si>
    <t>Estimated Avg. # of Hours Per Response</t>
  </si>
  <si>
    <t>Hours Currently Approved Under OMB# 0584-0026</t>
  </si>
  <si>
    <t>Justification</t>
  </si>
  <si>
    <t xml:space="preserve">Data Validation - List </t>
  </si>
  <si>
    <t>State Agency (SA) Level</t>
  </si>
  <si>
    <t>Community Eligibility</t>
  </si>
  <si>
    <t>245.9(f)(6)</t>
  </si>
  <si>
    <t>State Agency Level Total</t>
  </si>
  <si>
    <t>Local Educational Agency (LEA) / School Food Authority Level (SFA)</t>
  </si>
  <si>
    <t>245.9(f)(4)(i)</t>
  </si>
  <si>
    <t>LEAs submit to  State agency documentation of acceptable identified student percentage of LEA/school electing the provision</t>
  </si>
  <si>
    <t>F/R Eligibility</t>
  </si>
  <si>
    <t>245.6(c)(6)(i)</t>
  </si>
  <si>
    <t>LEAs notify households of approval of meal benefit applications.</t>
  </si>
  <si>
    <t>Direct Certification</t>
  </si>
  <si>
    <t>245.6(c)(6)(ii)</t>
  </si>
  <si>
    <t>LEAs must notify households in writing that children are eligible for free meals based on direct certification and that no application is required.</t>
  </si>
  <si>
    <t>245.6 (c)(7)</t>
  </si>
  <si>
    <t>LEAs provide written notice to each household of denied free or reduced price benefits.</t>
  </si>
  <si>
    <t>245.6a (f)</t>
  </si>
  <si>
    <t>LEAs notify households of selection for verification.</t>
  </si>
  <si>
    <t>245.6a (j)</t>
  </si>
  <si>
    <t>LEAs must provide households that failed to confirm eligibility with 10 days notice for receiving a reduction or termination of free or reduced price meal benefits.</t>
  </si>
  <si>
    <t>245.9(f)(5)</t>
  </si>
  <si>
    <t>LEA to submit to the State agency for publication a list of eligible and potentially eligible schools and their eligibility status; unless otherwise exempted by State agency</t>
  </si>
  <si>
    <t>245.9(g)</t>
  </si>
  <si>
    <t>LEAs to amend free and reduced policy statement and certify that schools meet eligibility criteria</t>
  </si>
  <si>
    <t>Local Educational Agency / School Food Authority Level Total</t>
  </si>
  <si>
    <t xml:space="preserve">State and Local Agency Level Total </t>
  </si>
  <si>
    <t>Household Level</t>
  </si>
  <si>
    <t>245.6 (a)(1)</t>
  </si>
  <si>
    <t>Households complete application form for free or reduced price meal benefits.</t>
  </si>
  <si>
    <t>245.6a (a)(7)(i)</t>
  </si>
  <si>
    <t>Households assemble written evidence for verification of eligibility for free and reduced price meals and send to LEA.</t>
  </si>
  <si>
    <t>Household Level Total</t>
  </si>
  <si>
    <t xml:space="preserve"> Total Reporting Burden</t>
  </si>
  <si>
    <t xml:space="preserve">Total </t>
  </si>
  <si>
    <t xml:space="preserve">Recordkeeping </t>
  </si>
  <si>
    <t>State Agency Level</t>
  </si>
  <si>
    <t>Community eligibility</t>
  </si>
  <si>
    <t>245.9(f)(4)(ii)</t>
  </si>
  <si>
    <t xml:space="preserve">State Agency to review and confirm LEAs eligibility to participate in Provisions 1, 2, or 3 or the Community Eligiblity Provision </t>
  </si>
  <si>
    <t>Local Educational Agency / School Food Authority Level</t>
  </si>
  <si>
    <t>245.6(e)</t>
  </si>
  <si>
    <t>LEAs must maintain documentation substantiating eligibility determinations for 3 years after the end of the fiscal year.</t>
  </si>
  <si>
    <t>245.9(h)(3)</t>
  </si>
  <si>
    <t>LEA to maintain documentation  related to methodology used to calculate the identified student percentage and determine eligibility</t>
  </si>
  <si>
    <t xml:space="preserve"> Total Recordkeeping Burden</t>
  </si>
  <si>
    <t xml:space="preserve">ICR #0584-0026, 7 CFR Part 245, Free and Reduced Price Eligibility - Summary </t>
  </si>
  <si>
    <t xml:space="preserve"> </t>
  </si>
  <si>
    <t>Responses Per Respondent</t>
  </si>
  <si>
    <t>Total Annual Responses (Col. BxC)</t>
  </si>
  <si>
    <t>Estimated Total Hours (Col. DxE)</t>
  </si>
  <si>
    <t xml:space="preserve">State Agency Level </t>
  </si>
  <si>
    <t>Local Educational Agency Level</t>
  </si>
  <si>
    <t xml:space="preserve">Recordkeeping Total </t>
  </si>
  <si>
    <t xml:space="preserve">Household Level </t>
  </si>
  <si>
    <t xml:space="preserve">Reporting Total </t>
  </si>
  <si>
    <t>TOTAL STATE AND LOCAL BURDEN</t>
  </si>
  <si>
    <t>TOTAL BURDEN</t>
  </si>
  <si>
    <t xml:space="preserve">SUMMARY OF BURDEN RECORDKEEPING &amp; REPORTING </t>
  </si>
  <si>
    <t>TOTAL NO. RESPONDENTS</t>
  </si>
  <si>
    <t>AVERAGE NO. RESPONSES PER RESPONDENT</t>
  </si>
  <si>
    <t>TOTAL ANNUAL RESPONSES</t>
  </si>
  <si>
    <t>AVERAGE HOURS PER RESPONSE</t>
  </si>
  <si>
    <t>TOTAL BURDEN HOURS</t>
  </si>
  <si>
    <t xml:space="preserve">CURRENT OMB INVENTORY </t>
  </si>
  <si>
    <t>TENTATIVE DIFFERENCE DUE TO RULEMAKING</t>
  </si>
  <si>
    <t xml:space="preserve">Estimated Total Annual Burden Hours for OMB# 0584-00xx Due to Proposed Rulemaking             </t>
  </si>
  <si>
    <t xml:space="preserve">Estimated Total Annual Burden Hours for OMB# 0584-00xx Due to Proposed Rulemaking </t>
  </si>
  <si>
    <t>Estimated Future Burden Hours for OMB# 0584-0026 After the Merge with  OMB# 0584-00xx</t>
  </si>
  <si>
    <t xml:space="preserve">State agency to notify LEAs of their community eligibility status as applicable </t>
  </si>
  <si>
    <t>Total Annual Responses</t>
  </si>
  <si>
    <t>Frequency of Responses</t>
  </si>
  <si>
    <t>Estimated Future Change in Burden Hours for OMB# 0584-0026 Due to Rulemaking</t>
  </si>
  <si>
    <r>
      <t xml:space="preserve">Attachment A. Burden Chart for OMB Control Number 0584-00xx, proposed rule, </t>
    </r>
    <r>
      <rPr>
        <b/>
        <i/>
        <sz val="14"/>
        <color theme="1"/>
        <rFont val="Calibri"/>
        <family val="2"/>
        <scheme val="minor"/>
      </rPr>
      <t>Child Nutrition Programs:  Community Eligibility Provision - Increasing Options for Schools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</si>
</sst>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#,##0.000_);\(#,##0.000\)"/>
    <numFmt numFmtId="170" formatCode="0.000_);\(0.000\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273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6" fontId="9" fillId="3" borderId="0" xfId="3" applyNumberFormat="1" applyFont="1" applyFill="1" applyBorder="1" applyAlignment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4" fontId="0" fillId="0" borderId="0" xfId="0" applyNumberFormat="1"/>
    <xf numFmtId="0" fontId="9" fillId="3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" fillId="7" borderId="20" xfId="0" applyFont="1" applyFill="1" applyBorder="1" applyAlignment="1">
      <alignment horizontal="center"/>
    </xf>
    <xf numFmtId="0" fontId="11" fillId="8" borderId="0" xfId="0" applyFont="1" applyFill="1" applyAlignment="1">
      <alignment horizontal="left" vertical="center"/>
    </xf>
    <xf numFmtId="166" fontId="11" fillId="8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7" borderId="13" xfId="3" applyFont="1" applyFill="1" applyBorder="1" applyAlignment="1" applyProtection="1">
      <alignment horizontal="center" vertical="center"/>
    </xf>
    <xf numFmtId="43" fontId="6" fillId="7" borderId="14" xfId="3" applyFont="1" applyFill="1" applyBorder="1" applyAlignment="1" applyProtection="1">
      <alignment vertical="center" wrapText="1"/>
    </xf>
    <xf numFmtId="43" fontId="22" fillId="7" borderId="15" xfId="3" applyFont="1" applyFill="1" applyBorder="1" applyAlignment="1" applyProtection="1">
      <alignment horizontal="right" vertical="center"/>
    </xf>
    <xf numFmtId="43" fontId="6" fillId="7" borderId="15" xfId="3" applyFont="1" applyFill="1" applyBorder="1" applyAlignment="1" applyProtection="1">
      <alignment horizontal="center" vertical="center"/>
    </xf>
    <xf numFmtId="0" fontId="25" fillId="4" borderId="26" xfId="0" applyFont="1" applyFill="1" applyBorder="1" applyAlignment="1">
      <alignment horizontal="center" vertical="center" wrapText="1"/>
    </xf>
    <xf numFmtId="167" fontId="24" fillId="11" borderId="0" xfId="0" applyNumberFormat="1" applyFont="1" applyFill="1"/>
    <xf numFmtId="0" fontId="1" fillId="0" borderId="0" xfId="0" applyFont="1"/>
    <xf numFmtId="0" fontId="25" fillId="9" borderId="2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left"/>
    </xf>
    <xf numFmtId="0" fontId="1" fillId="0" borderId="1" xfId="0" applyFont="1" applyBorder="1"/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1" fontId="6" fillId="10" borderId="1" xfId="3" applyNumberFormat="1" applyFont="1" applyFill="1" applyBorder="1" applyAlignment="1" applyProtection="1">
      <alignment horizontal="center" vertical="center"/>
      <protection locked="0"/>
    </xf>
    <xf numFmtId="3" fontId="5" fillId="10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168" fontId="5" fillId="10" borderId="1" xfId="3" applyNumberFormat="1" applyFont="1" applyFill="1" applyBorder="1" applyAlignment="1" applyProtection="1">
      <alignment vertical="center"/>
    </xf>
    <xf numFmtId="39" fontId="6" fillId="7" borderId="15" xfId="3" applyNumberFormat="1" applyFont="1" applyFill="1" applyBorder="1" applyProtection="1"/>
    <xf numFmtId="0" fontId="6" fillId="7" borderId="13" xfId="3" applyNumberFormat="1" applyFont="1" applyFill="1" applyBorder="1" applyAlignment="1" applyProtection="1">
      <alignment horizontal="center" vertical="center"/>
    </xf>
    <xf numFmtId="0" fontId="6" fillId="7" borderId="14" xfId="3" applyNumberFormat="1" applyFont="1" applyFill="1" applyBorder="1" applyAlignment="1" applyProtection="1">
      <alignment vertical="center" wrapText="1"/>
    </xf>
    <xf numFmtId="0" fontId="22" fillId="7" borderId="15" xfId="3" applyNumberFormat="1" applyFont="1" applyFill="1" applyBorder="1" applyAlignment="1" applyProtection="1">
      <alignment horizontal="right" vertical="center"/>
    </xf>
    <xf numFmtId="0" fontId="6" fillId="7" borderId="15" xfId="3" applyNumberFormat="1" applyFont="1" applyFill="1" applyBorder="1" applyAlignment="1" applyProtection="1">
      <alignment horizontal="center" vertical="center"/>
    </xf>
    <xf numFmtId="37" fontId="6" fillId="7" borderId="15" xfId="3" applyNumberFormat="1" applyFont="1" applyFill="1" applyBorder="1" applyProtection="1"/>
    <xf numFmtId="37" fontId="24" fillId="11" borderId="0" xfId="0" applyNumberFormat="1" applyFont="1" applyFill="1"/>
    <xf numFmtId="3" fontId="1" fillId="0" borderId="1" xfId="0" applyNumberFormat="1" applyFont="1" applyBorder="1"/>
    <xf numFmtId="3" fontId="5" fillId="10" borderId="12" xfId="3" applyNumberFormat="1" applyFont="1" applyFill="1" applyBorder="1" applyAlignment="1" applyProtection="1">
      <alignment vertical="center"/>
    </xf>
    <xf numFmtId="3" fontId="5" fillId="9" borderId="1" xfId="3" applyNumberFormat="1" applyFont="1" applyFill="1" applyBorder="1" applyAlignment="1" applyProtection="1">
      <alignment vertical="center"/>
    </xf>
    <xf numFmtId="0" fontId="6" fillId="9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3" applyNumberFormat="1" applyFont="1" applyFill="1" applyBorder="1" applyAlignment="1" applyProtection="1">
      <alignment vertical="center" wrapText="1"/>
      <protection locked="0"/>
    </xf>
    <xf numFmtId="0" fontId="22" fillId="9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9" borderId="1" xfId="3" applyNumberFormat="1" applyFont="1" applyFill="1" applyBorder="1" applyAlignment="1" applyProtection="1">
      <alignment horizontal="center" vertical="center" wrapText="1"/>
      <protection locked="0"/>
    </xf>
    <xf numFmtId="39" fontId="24" fillId="11" borderId="0" xfId="0" applyNumberFormat="1" applyFont="1" applyFill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69" fontId="9" fillId="3" borderId="0" xfId="3" applyNumberFormat="1" applyFont="1" applyFill="1" applyBorder="1" applyAlignment="1">
      <alignment vertical="center"/>
    </xf>
    <xf numFmtId="4" fontId="5" fillId="9" borderId="1" xfId="3" applyNumberFormat="1" applyFont="1" applyFill="1" applyBorder="1" applyAlignment="1" applyProtection="1">
      <alignment vertical="center"/>
    </xf>
    <xf numFmtId="0" fontId="0" fillId="7" borderId="21" xfId="0" applyFill="1" applyBorder="1"/>
    <xf numFmtId="166" fontId="11" fillId="4" borderId="0" xfId="3" applyNumberFormat="1" applyFont="1" applyFill="1" applyBorder="1" applyAlignment="1">
      <alignment vertical="center"/>
    </xf>
    <xf numFmtId="169" fontId="11" fillId="4" borderId="0" xfId="3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166" fontId="0" fillId="0" borderId="0" xfId="0" applyNumberFormat="1"/>
    <xf numFmtId="0" fontId="27" fillId="0" borderId="1" xfId="0" applyFont="1" applyBorder="1" applyAlignment="1">
      <alignment vertical="center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8" borderId="0" xfId="3" applyNumberFormat="1" applyFont="1" applyFill="1" applyBorder="1" applyAlignment="1">
      <alignment vertical="center"/>
    </xf>
    <xf numFmtId="39" fontId="11" fillId="4" borderId="0" xfId="3" applyNumberFormat="1" applyFont="1" applyFill="1" applyBorder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168" fontId="6" fillId="7" borderId="15" xfId="3" applyNumberFormat="1" applyFont="1" applyFill="1" applyBorder="1" applyProtection="1"/>
    <xf numFmtId="169" fontId="11" fillId="0" borderId="0" xfId="3" applyNumberFormat="1" applyFont="1" applyBorder="1" applyAlignment="1">
      <alignment vertical="center"/>
    </xf>
    <xf numFmtId="169" fontId="11" fillId="0" borderId="0" xfId="3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24" fillId="0" borderId="1" xfId="1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vertical="center" wrapText="1"/>
    </xf>
    <xf numFmtId="170" fontId="11" fillId="0" borderId="0" xfId="3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3" fontId="6" fillId="7" borderId="16" xfId="3" applyNumberFormat="1" applyFont="1" applyFill="1" applyBorder="1" applyProtection="1"/>
    <xf numFmtId="0" fontId="34" fillId="0" borderId="1" xfId="0" applyFont="1" applyBorder="1" applyAlignment="1">
      <alignment horizontal="left" vertical="center"/>
    </xf>
    <xf numFmtId="168" fontId="28" fillId="0" borderId="1" xfId="0" applyNumberFormat="1" applyFont="1" applyBorder="1" applyAlignment="1">
      <alignment horizontal="right" vertical="center"/>
    </xf>
    <xf numFmtId="0" fontId="24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/>
    <xf numFmtId="168" fontId="17" fillId="0" borderId="9" xfId="4" applyNumberFormat="1" applyFont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 vertical="center" wrapText="1"/>
    </xf>
    <xf numFmtId="168" fontId="24" fillId="10" borderId="1" xfId="3" applyNumberFormat="1" applyFont="1" applyFill="1" applyBorder="1" applyAlignment="1" applyProtection="1">
      <alignment vertical="center"/>
    </xf>
    <xf numFmtId="168" fontId="0" fillId="0" borderId="0" xfId="0" applyNumberFormat="1"/>
    <xf numFmtId="168" fontId="25" fillId="4" borderId="27" xfId="0" applyNumberFormat="1" applyFont="1" applyFill="1" applyBorder="1" applyAlignment="1">
      <alignment horizontal="center" vertical="center" wrapText="1"/>
    </xf>
    <xf numFmtId="168" fontId="24" fillId="11" borderId="0" xfId="0" applyNumberFormat="1" applyFont="1" applyFill="1"/>
    <xf numFmtId="168" fontId="1" fillId="0" borderId="1" xfId="0" applyNumberFormat="1" applyFont="1" applyBorder="1"/>
    <xf numFmtId="168" fontId="33" fillId="0" borderId="0" xfId="0" applyNumberFormat="1" applyFont="1"/>
    <xf numFmtId="168" fontId="5" fillId="9" borderId="1" xfId="3" applyNumberFormat="1" applyFont="1" applyFill="1" applyBorder="1" applyAlignment="1" applyProtection="1">
      <alignment vertical="center"/>
    </xf>
    <xf numFmtId="168" fontId="25" fillId="9" borderId="27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/>
    <xf numFmtId="168" fontId="32" fillId="0" borderId="0" xfId="0" applyNumberFormat="1" applyFont="1"/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/>
    </xf>
    <xf numFmtId="168" fontId="25" fillId="0" borderId="1" xfId="0" applyNumberFormat="1" applyFont="1" applyBorder="1" applyAlignment="1">
      <alignment horizontal="right" vertical="center" wrapText="1"/>
    </xf>
    <xf numFmtId="0" fontId="0" fillId="7" borderId="0" xfId="0" applyFill="1"/>
    <xf numFmtId="43" fontId="3" fillId="0" borderId="0" xfId="4" applyNumberFormat="1"/>
    <xf numFmtId="3" fontId="17" fillId="0" borderId="9" xfId="4" applyNumberFormat="1" applyFont="1" applyBorder="1" applyAlignment="1">
      <alignment horizontal="center"/>
    </xf>
    <xf numFmtId="3" fontId="13" fillId="4" borderId="1" xfId="1" applyNumberFormat="1" applyFont="1" applyFill="1" applyBorder="1" applyAlignment="1">
      <alignment horizontal="center" vertical="center" wrapText="1"/>
    </xf>
    <xf numFmtId="3" fontId="24" fillId="0" borderId="1" xfId="15" applyNumberFormat="1" applyFont="1" applyFill="1" applyBorder="1" applyAlignment="1" applyProtection="1">
      <alignment horizontal="right" vertical="center"/>
      <protection locked="0"/>
    </xf>
    <xf numFmtId="3" fontId="24" fillId="10" borderId="1" xfId="3" applyNumberFormat="1" applyFont="1" applyFill="1" applyBorder="1" applyAlignment="1" applyProtection="1">
      <alignment vertical="center"/>
    </xf>
    <xf numFmtId="3" fontId="6" fillId="7" borderId="15" xfId="3" applyNumberFormat="1" applyFont="1" applyFill="1" applyBorder="1" applyProtection="1"/>
    <xf numFmtId="3" fontId="0" fillId="0" borderId="0" xfId="0" applyNumberFormat="1"/>
    <xf numFmtId="3" fontId="25" fillId="4" borderId="27" xfId="0" applyNumberFormat="1" applyFont="1" applyFill="1" applyBorder="1" applyAlignment="1">
      <alignment horizontal="center" vertical="center" wrapText="1"/>
    </xf>
    <xf numFmtId="3" fontId="24" fillId="11" borderId="0" xfId="0" applyNumberFormat="1" applyFont="1" applyFill="1"/>
    <xf numFmtId="3" fontId="33" fillId="0" borderId="0" xfId="0" applyNumberFormat="1" applyFont="1"/>
    <xf numFmtId="0" fontId="36" fillId="0" borderId="17" xfId="0" applyFont="1" applyBorder="1"/>
    <xf numFmtId="3" fontId="36" fillId="0" borderId="36" xfId="0" applyNumberFormat="1" applyFont="1" applyBorder="1" applyAlignment="1">
      <alignment horizontal="right"/>
    </xf>
    <xf numFmtId="168" fontId="36" fillId="0" borderId="36" xfId="0" applyNumberFormat="1" applyFont="1" applyBorder="1" applyAlignment="1">
      <alignment horizontal="right"/>
    </xf>
    <xf numFmtId="0" fontId="36" fillId="0" borderId="36" xfId="0" applyFont="1" applyBorder="1" applyAlignment="1">
      <alignment horizontal="right"/>
    </xf>
    <xf numFmtId="3" fontId="13" fillId="4" borderId="5" xfId="1" applyNumberFormat="1" applyFont="1" applyFill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right" vertical="center"/>
    </xf>
    <xf numFmtId="3" fontId="24" fillId="10" borderId="5" xfId="3" applyNumberFormat="1" applyFont="1" applyFill="1" applyBorder="1" applyAlignment="1" applyProtection="1">
      <alignment vertical="center"/>
    </xf>
    <xf numFmtId="3" fontId="28" fillId="12" borderId="5" xfId="0" applyNumberFormat="1" applyFont="1" applyFill="1" applyBorder="1" applyAlignment="1">
      <alignment horizontal="right" vertical="center"/>
    </xf>
    <xf numFmtId="3" fontId="5" fillId="10" borderId="5" xfId="3" applyNumberFormat="1" applyFont="1" applyFill="1" applyBorder="1" applyAlignment="1" applyProtection="1">
      <alignment vertical="center"/>
    </xf>
    <xf numFmtId="3" fontId="6" fillId="7" borderId="33" xfId="3" applyNumberFormat="1" applyFont="1" applyFill="1" applyBorder="1" applyProtection="1"/>
    <xf numFmtId="3" fontId="25" fillId="4" borderId="34" xfId="0" applyNumberFormat="1" applyFont="1" applyFill="1" applyBorder="1" applyAlignment="1">
      <alignment horizontal="center" vertical="center" wrapText="1"/>
    </xf>
    <xf numFmtId="4" fontId="17" fillId="0" borderId="9" xfId="4" applyNumberFormat="1" applyFont="1" applyBorder="1" applyAlignment="1">
      <alignment horizontal="center"/>
    </xf>
    <xf numFmtId="4" fontId="13" fillId="4" borderId="1" xfId="1" applyNumberFormat="1" applyFont="1" applyFill="1" applyBorder="1" applyAlignment="1">
      <alignment horizontal="center" vertical="center" wrapText="1"/>
    </xf>
    <xf numFmtId="4" fontId="24" fillId="10" borderId="1" xfId="3" applyNumberFormat="1" applyFont="1" applyFill="1" applyBorder="1" applyAlignment="1" applyProtection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4" fontId="6" fillId="7" borderId="15" xfId="3" applyNumberFormat="1" applyFont="1" applyFill="1" applyBorder="1" applyProtection="1"/>
    <xf numFmtId="4" fontId="0" fillId="0" borderId="0" xfId="0" applyNumberFormat="1"/>
    <xf numFmtId="4" fontId="25" fillId="4" borderId="27" xfId="0" applyNumberFormat="1" applyFont="1" applyFill="1" applyBorder="1" applyAlignment="1">
      <alignment horizontal="center" vertical="center" wrapText="1"/>
    </xf>
    <xf numFmtId="4" fontId="24" fillId="11" borderId="0" xfId="0" applyNumberFormat="1" applyFont="1" applyFill="1"/>
    <xf numFmtId="4" fontId="1" fillId="0" borderId="1" xfId="0" applyNumberFormat="1" applyFont="1" applyBorder="1"/>
    <xf numFmtId="4" fontId="33" fillId="0" borderId="0" xfId="0" applyNumberFormat="1" applyFont="1"/>
    <xf numFmtId="3" fontId="17" fillId="0" borderId="10" xfId="4" applyNumberFormat="1" applyFont="1" applyBorder="1" applyAlignment="1">
      <alignment horizontal="center"/>
    </xf>
    <xf numFmtId="3" fontId="27" fillId="0" borderId="12" xfId="3" applyNumberFormat="1" applyFont="1" applyFill="1" applyBorder="1" applyAlignment="1" applyProtection="1">
      <alignment vertical="center"/>
    </xf>
    <xf numFmtId="3" fontId="5" fillId="9" borderId="5" xfId="3" applyNumberFormat="1" applyFont="1" applyFill="1" applyBorder="1" applyAlignment="1" applyProtection="1">
      <alignment vertical="center"/>
    </xf>
    <xf numFmtId="3" fontId="5" fillId="9" borderId="12" xfId="3" applyNumberFormat="1" applyFont="1" applyFill="1" applyBorder="1" applyAlignment="1" applyProtection="1">
      <alignment vertical="center"/>
    </xf>
    <xf numFmtId="3" fontId="25" fillId="0" borderId="1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9" borderId="27" xfId="0" applyNumberFormat="1" applyFont="1" applyFill="1" applyBorder="1" applyAlignment="1">
      <alignment horizontal="center" vertical="center" wrapText="1"/>
    </xf>
    <xf numFmtId="3" fontId="25" fillId="9" borderId="34" xfId="0" applyNumberFormat="1" applyFont="1" applyFill="1" applyBorder="1" applyAlignment="1">
      <alignment horizontal="center" vertical="center" wrapText="1"/>
    </xf>
    <xf numFmtId="3" fontId="25" fillId="9" borderId="28" xfId="0" applyNumberFormat="1" applyFont="1" applyFill="1" applyBorder="1" applyAlignment="1">
      <alignment horizontal="center" vertical="center" wrapText="1"/>
    </xf>
    <xf numFmtId="3" fontId="24" fillId="11" borderId="23" xfId="0" applyNumberFormat="1" applyFont="1" applyFill="1" applyBorder="1"/>
    <xf numFmtId="3" fontId="32" fillId="0" borderId="0" xfId="0" applyNumberFormat="1" applyFont="1"/>
    <xf numFmtId="3" fontId="29" fillId="0" borderId="0" xfId="0" applyNumberFormat="1" applyFont="1"/>
    <xf numFmtId="3" fontId="13" fillId="4" borderId="12" xfId="1" applyNumberFormat="1" applyFont="1" applyFill="1" applyBorder="1" applyAlignment="1">
      <alignment horizontal="center" vertical="center" wrapText="1"/>
    </xf>
    <xf numFmtId="3" fontId="24" fillId="0" borderId="12" xfId="3" applyNumberFormat="1" applyFont="1" applyFill="1" applyBorder="1" applyAlignment="1" applyProtection="1">
      <alignment vertical="center"/>
    </xf>
    <xf numFmtId="3" fontId="24" fillId="10" borderId="12" xfId="3" applyNumberFormat="1" applyFont="1" applyFill="1" applyBorder="1" applyAlignment="1" applyProtection="1">
      <alignment vertical="center"/>
    </xf>
    <xf numFmtId="3" fontId="25" fillId="4" borderId="28" xfId="0" applyNumberFormat="1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168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7" fillId="0" borderId="9" xfId="4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3" fillId="0" borderId="0" xfId="1" applyFont="1" applyAlignment="1">
      <alignment horizontal="center" vertical="center" wrapText="1"/>
    </xf>
    <xf numFmtId="43" fontId="24" fillId="0" borderId="11" xfId="15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0" borderId="21" xfId="0" applyFont="1" applyBorder="1" applyAlignment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43" fontId="22" fillId="0" borderId="1" xfId="3" applyFont="1" applyFill="1" applyBorder="1" applyAlignment="1" applyProtection="1">
      <alignment horizontal="right"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168" fontId="5" fillId="0" borderId="1" xfId="3" applyNumberFormat="1" applyFont="1" applyFill="1" applyBorder="1" applyAlignment="1" applyProtection="1">
      <alignment vertical="center"/>
    </xf>
    <xf numFmtId="3" fontId="5" fillId="0" borderId="5" xfId="3" applyNumberFormat="1" applyFont="1" applyFill="1" applyBorder="1" applyAlignment="1" applyProtection="1">
      <alignment vertical="center"/>
    </xf>
    <xf numFmtId="3" fontId="23" fillId="0" borderId="6" xfId="1" applyNumberFormat="1" applyFont="1" applyBorder="1" applyAlignment="1">
      <alignment horizontal="center" vertical="center" wrapText="1"/>
    </xf>
    <xf numFmtId="3" fontId="23" fillId="0" borderId="25" xfId="1" applyNumberFormat="1" applyFont="1" applyBorder="1" applyAlignment="1">
      <alignment horizontal="center" vertical="center" wrapText="1"/>
    </xf>
    <xf numFmtId="43" fontId="5" fillId="0" borderId="11" xfId="15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3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3" fontId="25" fillId="0" borderId="5" xfId="0" applyNumberFormat="1" applyFont="1" applyBorder="1" applyAlignment="1">
      <alignment horizontal="right" vertical="center" wrapText="1"/>
    </xf>
    <xf numFmtId="3" fontId="27" fillId="0" borderId="12" xfId="3" applyNumberFormat="1" applyFont="1" applyFill="1" applyBorder="1" applyAlignment="1" applyProtection="1">
      <alignment vertical="center" wrapText="1"/>
    </xf>
    <xf numFmtId="0" fontId="5" fillId="0" borderId="0" xfId="1" applyFont="1" applyAlignment="1">
      <alignment wrapText="1"/>
    </xf>
    <xf numFmtId="0" fontId="0" fillId="0" borderId="21" xfId="0" applyBorder="1" applyAlignment="1">
      <alignment wrapText="1"/>
    </xf>
    <xf numFmtId="0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Border="1" applyAlignment="1">
      <alignment vertical="center" wrapText="1"/>
    </xf>
    <xf numFmtId="43" fontId="6" fillId="0" borderId="11" xfId="15" applyFont="1" applyFill="1" applyBorder="1" applyAlignment="1" applyProtection="1">
      <alignment horizontal="center" vertical="center" wrapText="1"/>
      <protection locked="0"/>
    </xf>
    <xf numFmtId="0" fontId="24" fillId="0" borderId="30" xfId="1" applyFont="1" applyBorder="1" applyAlignment="1">
      <alignment vertical="center"/>
    </xf>
    <xf numFmtId="0" fontId="6" fillId="0" borderId="11" xfId="15" applyNumberFormat="1" applyFont="1" applyFill="1" applyBorder="1" applyAlignment="1" applyProtection="1">
      <alignment horizontal="center" vertical="center" wrapText="1"/>
      <protection locked="0"/>
    </xf>
    <xf numFmtId="168" fontId="0" fillId="0" borderId="32" xfId="0" applyNumberForma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3" fontId="24" fillId="0" borderId="1" xfId="26" applyNumberFormat="1" applyFont="1" applyFill="1" applyBorder="1" applyAlignment="1">
      <alignment horizontal="right" vertical="center"/>
    </xf>
    <xf numFmtId="0" fontId="13" fillId="9" borderId="11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3" fontId="13" fillId="9" borderId="1" xfId="1" applyNumberFormat="1" applyFont="1" applyFill="1" applyBorder="1" applyAlignment="1">
      <alignment horizontal="center" vertical="center" wrapText="1"/>
    </xf>
    <xf numFmtId="168" fontId="13" fillId="9" borderId="1" xfId="1" applyNumberFormat="1" applyFont="1" applyFill="1" applyBorder="1" applyAlignment="1">
      <alignment horizontal="center" vertical="center" wrapText="1"/>
    </xf>
    <xf numFmtId="3" fontId="13" fillId="9" borderId="5" xfId="1" applyNumberFormat="1" applyFont="1" applyFill="1" applyBorder="1" applyAlignment="1">
      <alignment horizontal="center" vertical="center" wrapText="1"/>
    </xf>
    <xf numFmtId="3" fontId="13" fillId="9" borderId="12" xfId="1" applyNumberFormat="1" applyFont="1" applyFill="1" applyBorder="1" applyAlignment="1">
      <alignment horizontal="center" vertical="center" wrapText="1"/>
    </xf>
    <xf numFmtId="0" fontId="5" fillId="10" borderId="1" xfId="15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vertical="center" wrapText="1"/>
    </xf>
    <xf numFmtId="0" fontId="0" fillId="10" borderId="1" xfId="0" applyFill="1" applyBorder="1"/>
    <xf numFmtId="3" fontId="0" fillId="10" borderId="1" xfId="0" applyNumberFormat="1" applyFill="1" applyBorder="1"/>
    <xf numFmtId="4" fontId="0" fillId="10" borderId="1" xfId="0" applyNumberFormat="1" applyFill="1" applyBorder="1"/>
    <xf numFmtId="168" fontId="0" fillId="10" borderId="1" xfId="0" applyNumberFormat="1" applyFill="1" applyBorder="1" applyAlignment="1">
      <alignment horizontal="right" vertical="center"/>
    </xf>
    <xf numFmtId="0" fontId="37" fillId="10" borderId="1" xfId="0" applyFont="1" applyFill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" xfId="27" applyNumberFormat="1" applyFont="1" applyBorder="1"/>
    <xf numFmtId="0" fontId="0" fillId="12" borderId="1" xfId="0" applyFill="1" applyBorder="1"/>
    <xf numFmtId="0" fontId="1" fillId="12" borderId="1" xfId="0" applyFont="1" applyFill="1" applyBorder="1"/>
    <xf numFmtId="166" fontId="0" fillId="12" borderId="1" xfId="0" applyNumberFormat="1" applyFill="1" applyBorder="1"/>
    <xf numFmtId="166" fontId="0" fillId="12" borderId="1" xfId="26" applyNumberFormat="1" applyFont="1" applyFill="1" applyBorder="1"/>
    <xf numFmtId="3" fontId="0" fillId="12" borderId="1" xfId="0" applyNumberFormat="1" applyFill="1" applyBorder="1"/>
    <xf numFmtId="0" fontId="0" fillId="9" borderId="1" xfId="0" applyFill="1" applyBorder="1"/>
    <xf numFmtId="3" fontId="0" fillId="9" borderId="1" xfId="0" applyNumberFormat="1" applyFill="1" applyBorder="1"/>
    <xf numFmtId="4" fontId="0" fillId="9" borderId="1" xfId="0" applyNumberFormat="1" applyFill="1" applyBorder="1"/>
    <xf numFmtId="168" fontId="0" fillId="9" borderId="1" xfId="0" applyNumberFormat="1" applyFill="1" applyBorder="1"/>
    <xf numFmtId="0" fontId="4" fillId="0" borderId="0" xfId="4" applyFont="1"/>
    <xf numFmtId="166" fontId="2" fillId="0" borderId="0" xfId="4" applyNumberFormat="1" applyFont="1"/>
    <xf numFmtId="39" fontId="9" fillId="3" borderId="0" xfId="3" applyNumberFormat="1" applyFont="1" applyFill="1" applyBorder="1" applyAlignment="1">
      <alignment vertical="center"/>
    </xf>
    <xf numFmtId="0" fontId="37" fillId="9" borderId="1" xfId="0" applyFont="1" applyFill="1" applyBorder="1" applyAlignment="1">
      <alignment horizontal="right"/>
    </xf>
    <xf numFmtId="1" fontId="17" fillId="0" borderId="9" xfId="4" applyNumberFormat="1" applyFont="1" applyBorder="1" applyAlignment="1">
      <alignment horizontal="center"/>
    </xf>
    <xf numFmtId="1" fontId="13" fillId="9" borderId="1" xfId="1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right" vertical="center"/>
    </xf>
    <xf numFmtId="1" fontId="5" fillId="0" borderId="1" xfId="3" applyNumberFormat="1" applyFont="1" applyFill="1" applyBorder="1" applyAlignment="1" applyProtection="1">
      <alignment vertical="center"/>
    </xf>
    <xf numFmtId="1" fontId="23" fillId="0" borderId="6" xfId="1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right" vertical="center"/>
    </xf>
    <xf numFmtId="1" fontId="5" fillId="9" borderId="1" xfId="3" applyNumberFormat="1" applyFont="1" applyFill="1" applyBorder="1" applyAlignment="1" applyProtection="1">
      <alignment vertical="center"/>
    </xf>
    <xf numFmtId="1" fontId="0" fillId="0" borderId="0" xfId="0" applyNumberFormat="1"/>
    <xf numFmtId="1" fontId="25" fillId="9" borderId="27" xfId="0" applyNumberFormat="1" applyFont="1" applyFill="1" applyBorder="1" applyAlignment="1">
      <alignment horizontal="center" vertical="center" wrapText="1"/>
    </xf>
    <xf numFmtId="1" fontId="24" fillId="11" borderId="0" xfId="0" applyNumberFormat="1" applyFont="1" applyFill="1"/>
    <xf numFmtId="1" fontId="0" fillId="0" borderId="1" xfId="0" applyNumberFormat="1" applyBorder="1"/>
    <xf numFmtId="1" fontId="32" fillId="0" borderId="0" xfId="0" applyNumberFormat="1" applyFont="1"/>
    <xf numFmtId="0" fontId="23" fillId="0" borderId="24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4" fillId="15" borderId="1" xfId="15" applyNumberFormat="1" applyFont="1" applyFill="1" applyBorder="1" applyAlignment="1" applyProtection="1">
      <alignment horizontal="center" vertical="center" wrapText="1"/>
      <protection locked="0"/>
    </xf>
    <xf numFmtId="3" fontId="25" fillId="0" borderId="1" xfId="27" applyNumberFormat="1" applyFont="1" applyFill="1" applyBorder="1" applyAlignment="1">
      <alignment horizontal="right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7" borderId="24" xfId="1" applyFont="1" applyFill="1" applyBorder="1" applyAlignment="1">
      <alignment horizontal="center" vertical="center" wrapText="1"/>
    </xf>
    <xf numFmtId="0" fontId="23" fillId="7" borderId="6" xfId="1" applyFont="1" applyFill="1" applyBorder="1" applyAlignment="1">
      <alignment horizontal="center" vertical="center" wrapText="1"/>
    </xf>
    <xf numFmtId="0" fontId="23" fillId="7" borderId="25" xfId="1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5" fillId="13" borderId="31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6" fillId="14" borderId="17" xfId="0" applyFont="1" applyFill="1" applyBorder="1" applyAlignment="1">
      <alignment horizontal="center"/>
    </xf>
    <xf numFmtId="0" fontId="36" fillId="14" borderId="35" xfId="0" applyFont="1" applyFill="1" applyBorder="1" applyAlignment="1">
      <alignment horizontal="center"/>
    </xf>
  </cellXfs>
  <cellStyles count="28">
    <cellStyle name="Comma" xfId="26" builtinId="3"/>
    <cellStyle name="Comma 2" xfId="3" xr:uid="{00000000-0005-0000-0000-000001000000}"/>
    <cellStyle name="Comma 2 2" xfId="15" xr:uid="{00000000-0005-0000-0000-000002000000}"/>
    <cellStyle name="Comma 2 3" xfId="12" xr:uid="{00000000-0005-0000-0000-000003000000}"/>
    <cellStyle name="Comma 2 4" xfId="9" xr:uid="{00000000-0005-0000-0000-000004000000}"/>
    <cellStyle name="Comma 2 5" xfId="6" xr:uid="{00000000-0005-0000-0000-000005000000}"/>
    <cellStyle name="Comma 3" xfId="2" xr:uid="{00000000-0005-0000-0000-000006000000}"/>
    <cellStyle name="Comma 3 2" xfId="14" xr:uid="{00000000-0005-0000-0000-000007000000}"/>
    <cellStyle name="Comma 3 3" xfId="11" xr:uid="{00000000-0005-0000-0000-000008000000}"/>
    <cellStyle name="Comma 3 4" xfId="8" xr:uid="{00000000-0005-0000-0000-000009000000}"/>
    <cellStyle name="Comma 3 5" xfId="5" xr:uid="{00000000-0005-0000-0000-00000A000000}"/>
    <cellStyle name="Currency" xfId="27" builtinId="4"/>
    <cellStyle name="Currency 2" xfId="18" xr:uid="{00000000-0005-0000-0000-00000C000000}"/>
    <cellStyle name="Normal" xfId="0" builtinId="0"/>
    <cellStyle name="Normal 2" xfId="1" xr:uid="{00000000-0005-0000-0000-00000E000000}"/>
    <cellStyle name="Normal 2 2" xfId="17" xr:uid="{00000000-0005-0000-0000-00000F000000}"/>
    <cellStyle name="Normal 3" xfId="4" xr:uid="{00000000-0005-0000-0000-000010000000}"/>
    <cellStyle name="Normal 3 2" xfId="19" xr:uid="{00000000-0005-0000-0000-000011000000}"/>
    <cellStyle name="Normal 3 3" xfId="16" xr:uid="{00000000-0005-0000-0000-000012000000}"/>
    <cellStyle name="Normal 3 4" xfId="13" xr:uid="{00000000-0005-0000-0000-000013000000}"/>
    <cellStyle name="Normal 3 5" xfId="10" xr:uid="{00000000-0005-0000-0000-000014000000}"/>
    <cellStyle name="Normal 3 6" xfId="7" xr:uid="{00000000-0005-0000-0000-000015000000}"/>
    <cellStyle name="Normal 4" xfId="20" xr:uid="{00000000-0005-0000-0000-000016000000}"/>
    <cellStyle name="Normal 5" xfId="21" xr:uid="{00000000-0005-0000-0000-000017000000}"/>
    <cellStyle name="Normal 6" xfId="22" xr:uid="{00000000-0005-0000-0000-000018000000}"/>
    <cellStyle name="Normal 7" xfId="23" xr:uid="{00000000-0005-0000-0000-000019000000}"/>
    <cellStyle name="Normal 8" xfId="24" xr:uid="{00000000-0005-0000-0000-00001A000000}"/>
    <cellStyle name="Normal 9" xfId="25" xr:uid="{00000000-0005-0000-0000-00001B000000}"/>
  </cellStyles>
  <dxfs count="4"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79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16" totalsRowShown="0" headerRowDxfId="3" headerRowBorderDxfId="2" tableBorderDxfId="1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0"/>
  <sheetViews>
    <sheetView zoomScale="70" zoomScaleNormal="70" workbookViewId="0">
      <pane xSplit="13" ySplit="5" topLeftCell="N17" activePane="bottomRight" state="frozen"/>
      <selection pane="topRight" activeCell="R1" sqref="R1"/>
      <selection pane="bottomLeft" activeCell="A5" sqref="A5"/>
      <selection pane="bottomRight" activeCell="H22" sqref="H22"/>
    </sheetView>
  </sheetViews>
  <sheetFormatPr defaultRowHeight="14.5" outlineLevelCol="1" x14ac:dyDescent="0.35"/>
  <cols>
    <col min="1" max="1" width="11.81640625" customWidth="1"/>
    <col min="2" max="2" width="17.54296875" customWidth="1"/>
    <col min="3" max="3" width="42.1796875" customWidth="1"/>
    <col min="4" max="4" width="12.81640625" bestFit="1" customWidth="1"/>
    <col min="5" max="5" width="15.7265625" style="127" bestFit="1" customWidth="1"/>
    <col min="6" max="6" width="15" style="147" customWidth="1"/>
    <col min="7" max="7" width="16" style="127" customWidth="1"/>
    <col min="8" max="8" width="14.54296875" style="108" bestFit="1" customWidth="1"/>
    <col min="9" max="9" width="19.1796875" style="127" bestFit="1" customWidth="1"/>
    <col min="10" max="11" width="19.1796875" style="127" customWidth="1"/>
    <col min="12" max="12" width="18.7265625" style="127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s="99" customFormat="1" ht="36.75" customHeight="1" thickBot="1" x14ac:dyDescent="0.5">
      <c r="A1" s="262" t="s">
        <v>90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5" ht="30.75" customHeight="1" thickBot="1" x14ac:dyDescent="0.55000000000000004">
      <c r="A2" s="256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1:15" ht="24" customHeight="1" thickBot="1" x14ac:dyDescent="0.4">
      <c r="A3" s="7"/>
      <c r="B3" s="8"/>
      <c r="C3" s="8"/>
      <c r="D3" s="9"/>
      <c r="E3" s="122" t="s">
        <v>1</v>
      </c>
      <c r="F3" s="142"/>
      <c r="G3" s="122" t="s">
        <v>3</v>
      </c>
      <c r="H3" s="105" t="s">
        <v>4</v>
      </c>
      <c r="I3" s="122" t="s">
        <v>5</v>
      </c>
      <c r="J3" s="122" t="s">
        <v>6</v>
      </c>
      <c r="K3" s="122" t="s">
        <v>7</v>
      </c>
      <c r="L3" s="152" t="s">
        <v>8</v>
      </c>
      <c r="M3" s="3"/>
      <c r="N3" s="2"/>
    </row>
    <row r="4" spans="1:15" ht="78" customHeight="1" thickBot="1" x14ac:dyDescent="0.4">
      <c r="A4" s="10" t="s">
        <v>9</v>
      </c>
      <c r="B4" s="11" t="s">
        <v>10</v>
      </c>
      <c r="C4" s="11" t="s">
        <v>11</v>
      </c>
      <c r="D4" s="11" t="s">
        <v>12</v>
      </c>
      <c r="E4" s="123" t="s">
        <v>13</v>
      </c>
      <c r="F4" s="143" t="s">
        <v>14</v>
      </c>
      <c r="G4" s="123" t="s">
        <v>87</v>
      </c>
      <c r="H4" s="106" t="s">
        <v>15</v>
      </c>
      <c r="I4" s="123" t="s">
        <v>83</v>
      </c>
      <c r="J4" s="135" t="s">
        <v>16</v>
      </c>
      <c r="K4" s="164" t="s">
        <v>85</v>
      </c>
      <c r="L4" s="164" t="s">
        <v>89</v>
      </c>
      <c r="M4" s="6" t="s">
        <v>17</v>
      </c>
      <c r="N4" s="1"/>
      <c r="O4" s="28" t="s">
        <v>18</v>
      </c>
    </row>
    <row r="5" spans="1:15" ht="18.5" x14ac:dyDescent="0.35">
      <c r="A5" s="259" t="s">
        <v>19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1"/>
      <c r="M5" s="31"/>
      <c r="N5" s="1"/>
      <c r="O5" s="28"/>
    </row>
    <row r="6" spans="1:15" ht="29" x14ac:dyDescent="0.35">
      <c r="A6" s="206" t="s">
        <v>20</v>
      </c>
      <c r="B6" s="98" t="s">
        <v>21</v>
      </c>
      <c r="C6" s="98" t="s">
        <v>86</v>
      </c>
      <c r="D6" s="91"/>
      <c r="E6" s="124">
        <v>55</v>
      </c>
      <c r="F6" s="94">
        <f>G6/E6</f>
        <v>84.145454545454541</v>
      </c>
      <c r="G6" s="93">
        <v>4628</v>
      </c>
      <c r="H6" s="102">
        <v>5.0099999999999999E-2</v>
      </c>
      <c r="I6" s="93">
        <f>G6*H6</f>
        <v>231.86279999999999</v>
      </c>
      <c r="J6" s="136">
        <v>437</v>
      </c>
      <c r="K6" s="136">
        <f>J6+I6</f>
        <v>668.86279999999999</v>
      </c>
      <c r="L6" s="165">
        <v>232</v>
      </c>
      <c r="O6" s="207"/>
    </row>
    <row r="7" spans="1:15" ht="15.5" x14ac:dyDescent="0.35">
      <c r="A7" s="45"/>
      <c r="B7" s="46"/>
      <c r="C7" s="44" t="s">
        <v>22</v>
      </c>
      <c r="D7" s="47"/>
      <c r="E7" s="125">
        <f>+MAX(E6:E6)</f>
        <v>55</v>
      </c>
      <c r="F7" s="144">
        <f>G7/E7</f>
        <v>84.145454545454541</v>
      </c>
      <c r="G7" s="125">
        <f>SUM(G6:G6)</f>
        <v>4628</v>
      </c>
      <c r="H7" s="107">
        <f>I7/G7</f>
        <v>5.0099999999999999E-2</v>
      </c>
      <c r="I7" s="125">
        <f>SUM(I6:I6)</f>
        <v>231.86279999999999</v>
      </c>
      <c r="J7" s="137">
        <f>J6</f>
        <v>437</v>
      </c>
      <c r="K7" s="137">
        <f>K6</f>
        <v>668.86279999999999</v>
      </c>
      <c r="L7" s="166">
        <f>SUM(L6:L6)</f>
        <v>232</v>
      </c>
      <c r="O7" s="71"/>
    </row>
    <row r="8" spans="1:15" ht="18.5" x14ac:dyDescent="0.35">
      <c r="A8" s="259" t="s">
        <v>23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1"/>
      <c r="M8" s="31"/>
      <c r="N8" s="1"/>
      <c r="O8" s="71"/>
    </row>
    <row r="9" spans="1:15" ht="68.25" customHeight="1" x14ac:dyDescent="0.35">
      <c r="A9" s="103" t="s">
        <v>20</v>
      </c>
      <c r="B9" s="92" t="s">
        <v>24</v>
      </c>
      <c r="C9" s="92" t="s">
        <v>25</v>
      </c>
      <c r="D9" s="91"/>
      <c r="E9" s="93">
        <v>337</v>
      </c>
      <c r="F9" s="94">
        <v>1</v>
      </c>
      <c r="G9" s="93">
        <f>E9*F9</f>
        <v>337</v>
      </c>
      <c r="H9" s="102">
        <v>0.25</v>
      </c>
      <c r="I9" s="93">
        <f t="shared" ref="I9:I14" si="0">G9*H9</f>
        <v>84.25</v>
      </c>
      <c r="J9" s="136">
        <v>125</v>
      </c>
      <c r="K9" s="136">
        <f>J9+I9</f>
        <v>209.25</v>
      </c>
      <c r="L9" s="49">
        <f>I9</f>
        <v>84.25</v>
      </c>
      <c r="O9" s="104"/>
    </row>
    <row r="10" spans="1:15" ht="68.25" customHeight="1" x14ac:dyDescent="0.35">
      <c r="A10" s="200" t="s">
        <v>26</v>
      </c>
      <c r="B10" s="91" t="s">
        <v>27</v>
      </c>
      <c r="C10" s="201" t="s">
        <v>28</v>
      </c>
      <c r="D10" s="91"/>
      <c r="E10" s="208">
        <f>14977+26</f>
        <v>15003</v>
      </c>
      <c r="F10" s="94">
        <v>219</v>
      </c>
      <c r="G10" s="93">
        <f>E10*F10</f>
        <v>3285657</v>
      </c>
      <c r="H10" s="102">
        <v>1.67E-2</v>
      </c>
      <c r="I10" s="93">
        <f t="shared" si="0"/>
        <v>54870.471899999997</v>
      </c>
      <c r="J10" s="136">
        <v>56290.3</v>
      </c>
      <c r="K10" s="136">
        <f>I10</f>
        <v>54870.471899999997</v>
      </c>
      <c r="L10" s="49">
        <f>K10-J10</f>
        <v>-1419.8281000000061</v>
      </c>
      <c r="O10" s="104"/>
    </row>
    <row r="11" spans="1:15" ht="68.25" customHeight="1" x14ac:dyDescent="0.35">
      <c r="A11" s="192" t="s">
        <v>29</v>
      </c>
      <c r="B11" s="91" t="s">
        <v>30</v>
      </c>
      <c r="C11" s="201" t="s">
        <v>31</v>
      </c>
      <c r="D11" s="91"/>
      <c r="E11" s="208">
        <f>14977+26</f>
        <v>15003</v>
      </c>
      <c r="F11" s="94">
        <v>332</v>
      </c>
      <c r="G11" s="93">
        <f t="shared" ref="G11:G15" si="1">E11*F11</f>
        <v>4980996</v>
      </c>
      <c r="H11" s="102">
        <v>1.67E-2</v>
      </c>
      <c r="I11" s="93">
        <f t="shared" si="0"/>
        <v>83182.633199999997</v>
      </c>
      <c r="J11" s="136">
        <v>85099.46</v>
      </c>
      <c r="K11" s="136">
        <f>I11</f>
        <v>83182.633199999997</v>
      </c>
      <c r="L11" s="49">
        <f>K11-J11</f>
        <v>-1916.8268000000098</v>
      </c>
      <c r="O11" s="104"/>
    </row>
    <row r="12" spans="1:15" ht="68.25" customHeight="1" x14ac:dyDescent="0.35">
      <c r="A12" s="202" t="s">
        <v>26</v>
      </c>
      <c r="B12" s="203" t="s">
        <v>32</v>
      </c>
      <c r="C12" s="201" t="s">
        <v>33</v>
      </c>
      <c r="D12" s="91"/>
      <c r="E12" s="208">
        <f>14977+26</f>
        <v>15003</v>
      </c>
      <c r="F12" s="94">
        <v>11.56</v>
      </c>
      <c r="G12" s="93">
        <f t="shared" si="1"/>
        <v>173434.68</v>
      </c>
      <c r="H12" s="102">
        <v>1.67E-2</v>
      </c>
      <c r="I12" s="93">
        <f t="shared" si="0"/>
        <v>2896.359156</v>
      </c>
      <c r="J12" s="136">
        <v>2962.65</v>
      </c>
      <c r="K12" s="136">
        <f>I12</f>
        <v>2896.359156</v>
      </c>
      <c r="L12" s="49">
        <f>K12-J12</f>
        <v>-66.290844000000106</v>
      </c>
      <c r="O12" s="104"/>
    </row>
    <row r="13" spans="1:15" ht="68.25" customHeight="1" x14ac:dyDescent="0.35">
      <c r="A13" s="204" t="s">
        <v>26</v>
      </c>
      <c r="B13" s="91" t="s">
        <v>34</v>
      </c>
      <c r="C13" s="201" t="s">
        <v>35</v>
      </c>
      <c r="D13" s="91"/>
      <c r="E13" s="208">
        <f>14977+26</f>
        <v>15003</v>
      </c>
      <c r="F13" s="94">
        <v>6.5</v>
      </c>
      <c r="G13" s="93">
        <f t="shared" si="1"/>
        <v>97519.5</v>
      </c>
      <c r="H13" s="102">
        <v>0.25</v>
      </c>
      <c r="I13" s="93">
        <f t="shared" si="0"/>
        <v>24379.875</v>
      </c>
      <c r="J13" s="136">
        <v>25092</v>
      </c>
      <c r="K13" s="136">
        <f>I13</f>
        <v>24379.875</v>
      </c>
      <c r="L13" s="49">
        <f>K13-J13</f>
        <v>-712.125</v>
      </c>
      <c r="O13" s="104"/>
    </row>
    <row r="14" spans="1:15" ht="68.25" customHeight="1" x14ac:dyDescent="0.35">
      <c r="A14" s="204" t="s">
        <v>26</v>
      </c>
      <c r="B14" s="91" t="s">
        <v>36</v>
      </c>
      <c r="C14" s="201" t="s">
        <v>37</v>
      </c>
      <c r="E14" s="208">
        <f>14977+26</f>
        <v>15003</v>
      </c>
      <c r="F14" s="209">
        <v>2.65</v>
      </c>
      <c r="G14" s="210">
        <f t="shared" si="1"/>
        <v>39757.949999999997</v>
      </c>
      <c r="H14" s="205">
        <v>0.1002</v>
      </c>
      <c r="I14" s="93">
        <f t="shared" si="0"/>
        <v>3983.7465899999997</v>
      </c>
      <c r="J14" s="136">
        <v>4078.8</v>
      </c>
      <c r="K14" s="136">
        <f>I14</f>
        <v>3983.7465899999997</v>
      </c>
      <c r="L14" s="49">
        <f>K14-J14</f>
        <v>-95.05341000000044</v>
      </c>
      <c r="O14" s="104"/>
    </row>
    <row r="15" spans="1:15" ht="81" customHeight="1" x14ac:dyDescent="0.35">
      <c r="A15" s="254" t="s">
        <v>20</v>
      </c>
      <c r="B15" s="92" t="s">
        <v>38</v>
      </c>
      <c r="C15" s="92" t="s">
        <v>39</v>
      </c>
      <c r="D15" s="91"/>
      <c r="E15" s="211">
        <v>4628</v>
      </c>
      <c r="F15" s="94">
        <v>1</v>
      </c>
      <c r="G15" s="93">
        <f t="shared" si="1"/>
        <v>4628</v>
      </c>
      <c r="H15" s="102">
        <v>8.3500000000000005E-2</v>
      </c>
      <c r="I15" s="93">
        <f>G15*H15</f>
        <v>386.43800000000005</v>
      </c>
      <c r="J15" s="138">
        <v>728.87</v>
      </c>
      <c r="K15" s="138">
        <f>J15+I15</f>
        <v>1115.308</v>
      </c>
      <c r="L15" s="49">
        <v>386</v>
      </c>
      <c r="O15" s="71"/>
    </row>
    <row r="16" spans="1:15" ht="43.5" x14ac:dyDescent="0.35">
      <c r="A16" s="254" t="s">
        <v>20</v>
      </c>
      <c r="B16" s="92" t="s">
        <v>40</v>
      </c>
      <c r="C16" s="96" t="s">
        <v>41</v>
      </c>
      <c r="D16" s="91"/>
      <c r="E16" s="93">
        <v>337</v>
      </c>
      <c r="F16" s="94">
        <v>1</v>
      </c>
      <c r="G16" s="93">
        <f>+E16*F16</f>
        <v>337</v>
      </c>
      <c r="H16" s="102">
        <v>0.1002</v>
      </c>
      <c r="I16" s="93">
        <f t="shared" ref="I16" si="2">G16*H16</f>
        <v>33.767400000000002</v>
      </c>
      <c r="J16" s="136">
        <v>50.1</v>
      </c>
      <c r="K16" s="136">
        <f>J16+I16</f>
        <v>83.867400000000004</v>
      </c>
      <c r="L16" s="49">
        <f>I16</f>
        <v>33.767400000000002</v>
      </c>
      <c r="O16" s="71"/>
    </row>
    <row r="17" spans="1:15" ht="31" x14ac:dyDescent="0.35">
      <c r="A17" s="45"/>
      <c r="B17" s="46"/>
      <c r="C17" s="44" t="s">
        <v>42</v>
      </c>
      <c r="D17" s="43"/>
      <c r="E17" s="48">
        <f>MAX(E9:E16)</f>
        <v>15003</v>
      </c>
      <c r="F17" s="145">
        <f>G17/E17</f>
        <v>572.06339598746911</v>
      </c>
      <c r="G17" s="48">
        <f>SUM(G9:G16)</f>
        <v>8582667.129999999</v>
      </c>
      <c r="H17" s="50">
        <f>I17/G17</f>
        <v>1.9786103628837811E-2</v>
      </c>
      <c r="I17" s="48">
        <f>SUM(I9:I16)</f>
        <v>169817.54124599998</v>
      </c>
      <c r="J17" s="139">
        <f>SUM(J9:J16)</f>
        <v>174427.18</v>
      </c>
      <c r="K17" s="139">
        <f>SUM(K9:K16)</f>
        <v>170721.51124599995</v>
      </c>
      <c r="L17" s="59">
        <f>SUM(L9:L16)</f>
        <v>-3706.1067540000163</v>
      </c>
      <c r="O17" s="71"/>
    </row>
    <row r="18" spans="1:15" ht="30" customHeight="1" x14ac:dyDescent="0.35">
      <c r="A18" s="232"/>
      <c r="B18" s="232"/>
      <c r="C18" s="239" t="s">
        <v>43</v>
      </c>
      <c r="D18" s="232"/>
      <c r="E18" s="233">
        <f t="shared" ref="E18:K18" si="3">E7+E17</f>
        <v>15058</v>
      </c>
      <c r="F18" s="234">
        <f t="shared" si="3"/>
        <v>656.20885053292363</v>
      </c>
      <c r="G18" s="233">
        <f t="shared" si="3"/>
        <v>8587295.129999999</v>
      </c>
      <c r="H18" s="235">
        <f t="shared" si="3"/>
        <v>6.9886103628837806E-2</v>
      </c>
      <c r="I18" s="233">
        <f t="shared" si="3"/>
        <v>170049.40404599998</v>
      </c>
      <c r="J18" s="233">
        <f>J7+J17</f>
        <v>174864.18</v>
      </c>
      <c r="K18" s="233">
        <f t="shared" si="3"/>
        <v>171390.37404599995</v>
      </c>
      <c r="L18" s="233">
        <f>L7+L17</f>
        <v>-3474.1067540000163</v>
      </c>
      <c r="O18" s="71"/>
    </row>
    <row r="19" spans="1:15" ht="15.65" customHeight="1" x14ac:dyDescent="0.45">
      <c r="A19" s="264" t="s">
        <v>44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O19" s="120"/>
    </row>
    <row r="20" spans="1:15" ht="29" x14ac:dyDescent="0.35">
      <c r="A20" s="168" t="s">
        <v>26</v>
      </c>
      <c r="B20" s="169" t="s">
        <v>45</v>
      </c>
      <c r="C20" s="96" t="s">
        <v>46</v>
      </c>
      <c r="D20" s="170"/>
      <c r="E20" s="68">
        <v>3470131</v>
      </c>
      <c r="F20" s="171">
        <v>1</v>
      </c>
      <c r="G20" s="68">
        <f>E20*F20</f>
        <v>3470131</v>
      </c>
      <c r="H20" s="172">
        <v>0.1169</v>
      </c>
      <c r="I20" s="68">
        <f>G20*H20</f>
        <v>405658.31390000001</v>
      </c>
      <c r="J20" s="68">
        <v>414770.32</v>
      </c>
      <c r="K20" s="68">
        <f>I20</f>
        <v>405658.31390000001</v>
      </c>
      <c r="L20" s="68">
        <f>K20-J20</f>
        <v>-9112.0060999999987</v>
      </c>
    </row>
    <row r="21" spans="1:15" ht="43.5" x14ac:dyDescent="0.35">
      <c r="A21" s="168" t="s">
        <v>26</v>
      </c>
      <c r="B21" s="173" t="s">
        <v>47</v>
      </c>
      <c r="C21" s="96" t="s">
        <v>48</v>
      </c>
      <c r="D21" s="170"/>
      <c r="E21" s="68">
        <v>98164</v>
      </c>
      <c r="F21" s="171">
        <v>1</v>
      </c>
      <c r="G21" s="68">
        <f>E21*F21</f>
        <v>98164</v>
      </c>
      <c r="H21" s="172">
        <v>0.5</v>
      </c>
      <c r="I21" s="68">
        <f>G21*H21</f>
        <v>49082</v>
      </c>
      <c r="J21" s="68">
        <v>50185</v>
      </c>
      <c r="K21" s="68">
        <f>I21</f>
        <v>49082</v>
      </c>
      <c r="L21" s="68">
        <f>K21-J21</f>
        <v>-1103</v>
      </c>
    </row>
    <row r="22" spans="1:15" ht="31.5" customHeight="1" x14ac:dyDescent="0.35">
      <c r="A22" s="218"/>
      <c r="B22" s="219"/>
      <c r="C22" s="224" t="s">
        <v>49</v>
      </c>
      <c r="D22" s="220"/>
      <c r="E22" s="221">
        <f>E20</f>
        <v>3470131</v>
      </c>
      <c r="F22" s="222">
        <f>G22/E22</f>
        <v>1.0282882692324873</v>
      </c>
      <c r="G22" s="221">
        <f>G20+G21</f>
        <v>3568295</v>
      </c>
      <c r="H22" s="223">
        <f>I22/G22</f>
        <v>0.12743910296093794</v>
      </c>
      <c r="I22" s="221">
        <f>I20+I21</f>
        <v>454740.31390000001</v>
      </c>
      <c r="J22" s="221">
        <f>J21+J20</f>
        <v>464955.32</v>
      </c>
      <c r="K22" s="221">
        <f>K20+K21</f>
        <v>454740.31390000001</v>
      </c>
      <c r="L22" s="221">
        <f>L20+L21</f>
        <v>-10215.006099999999</v>
      </c>
    </row>
    <row r="23" spans="1:15" ht="25.5" customHeight="1" thickBot="1" x14ac:dyDescent="0.4">
      <c r="A23" s="52"/>
      <c r="B23" s="53"/>
      <c r="C23" s="54" t="s">
        <v>50</v>
      </c>
      <c r="D23" s="55"/>
      <c r="E23" s="126">
        <f>+E7+E17+E22</f>
        <v>3485189</v>
      </c>
      <c r="F23" s="146">
        <f>G23/E23</f>
        <v>3.4877850612979664</v>
      </c>
      <c r="G23" s="126">
        <f>+G7+G17+G22</f>
        <v>12155590.129999999</v>
      </c>
      <c r="H23" s="87">
        <f>I23/G23</f>
        <v>5.1399373560977415E-2</v>
      </c>
      <c r="I23" s="126">
        <f>+I7+I17+I22</f>
        <v>624789.71794599993</v>
      </c>
      <c r="J23" s="140">
        <f>J22+J7+J17</f>
        <v>639819.5</v>
      </c>
      <c r="K23" s="140">
        <f>SUM(K7+K17+K22)</f>
        <v>626130.6879459999</v>
      </c>
      <c r="L23" s="100">
        <f>+L7+L17+L22</f>
        <v>-13689.112854000015</v>
      </c>
    </row>
    <row r="25" spans="1:15" ht="50.25" hidden="1" customHeight="1" x14ac:dyDescent="0.35">
      <c r="D25" s="36" t="str">
        <f>+A4</f>
        <v>Program Rule</v>
      </c>
      <c r="E25" s="128" t="str">
        <f t="shared" ref="E25:L25" si="4">+E4</f>
        <v>Estimated # Respondents</v>
      </c>
      <c r="F25" s="148" t="str">
        <f t="shared" si="4"/>
        <v>Responses per Respondents</v>
      </c>
      <c r="G25" s="128" t="str">
        <f t="shared" si="4"/>
        <v>Total Annual Responses</v>
      </c>
      <c r="H25" s="109" t="str">
        <f t="shared" si="4"/>
        <v>Estimated Avg. # of Hours Per Response</v>
      </c>
      <c r="I25" s="128" t="str">
        <f t="shared" si="4"/>
        <v xml:space="preserve">Estimated Total Annual Burden Hours for OMB# 0584-00xx Due to Proposed Rulemaking             </v>
      </c>
      <c r="J25" s="141"/>
      <c r="K25" s="141"/>
      <c r="L25" s="167" t="str">
        <f t="shared" si="4"/>
        <v>Estimated Future Change in Burden Hours for OMB# 0584-0026 Due to Rulemaking</v>
      </c>
    </row>
    <row r="26" spans="1:15" hidden="1" x14ac:dyDescent="0.35">
      <c r="D26" s="41" t="e">
        <f>+#REF!</f>
        <v>#REF!</v>
      </c>
      <c r="E26" s="129" t="e">
        <f>+SUM($E$7+$E$17+#REF!+#REF!)</f>
        <v>#REF!</v>
      </c>
      <c r="F26" s="149" t="e">
        <f t="shared" ref="F26:F32" si="5">IF(E26&gt;0,G26/E26,0)</f>
        <v>#REF!</v>
      </c>
      <c r="G26" s="129">
        <f t="shared" ref="G26:G32" si="6">+SUMIF($A$6:$A$17,D26,($G$6:$G$17))</f>
        <v>0</v>
      </c>
      <c r="H26" s="110">
        <f t="shared" ref="H26:H32" si="7">IF(G26&gt;0,I26/G26,0)</f>
        <v>0</v>
      </c>
      <c r="I26" s="129">
        <f t="shared" ref="I26:I32" si="8">+SUMIF($A$6:$A$17,D26,($I$6:$I$17))</f>
        <v>0</v>
      </c>
      <c r="J26" s="129"/>
      <c r="K26" s="129"/>
      <c r="L26" s="161">
        <f t="shared" ref="L26:L32" si="9">+SUMIF($A$6:$A$17,D26,($L$6:$L$17))</f>
        <v>0</v>
      </c>
    </row>
    <row r="27" spans="1:15" hidden="1" x14ac:dyDescent="0.35">
      <c r="D27" s="41" t="e">
        <f>+#REF!</f>
        <v>#REF!</v>
      </c>
      <c r="E27" s="129">
        <f t="shared" ref="E27:E32" si="10">+SUMIF($A$6:$A$17,D27,($E$6:$E$17))</f>
        <v>0</v>
      </c>
      <c r="F27" s="149">
        <f t="shared" si="5"/>
        <v>0</v>
      </c>
      <c r="G27" s="129">
        <f t="shared" si="6"/>
        <v>0</v>
      </c>
      <c r="H27" s="110">
        <f t="shared" si="7"/>
        <v>0</v>
      </c>
      <c r="I27" s="129">
        <f t="shared" si="8"/>
        <v>0</v>
      </c>
      <c r="J27" s="129"/>
      <c r="K27" s="129"/>
      <c r="L27" s="161">
        <f t="shared" si="9"/>
        <v>0</v>
      </c>
    </row>
    <row r="28" spans="1:15" hidden="1" x14ac:dyDescent="0.35">
      <c r="D28" s="41" t="e">
        <f>+#REF!</f>
        <v>#REF!</v>
      </c>
      <c r="E28" s="129">
        <f t="shared" si="10"/>
        <v>0</v>
      </c>
      <c r="F28" s="149">
        <f t="shared" si="5"/>
        <v>0</v>
      </c>
      <c r="G28" s="129">
        <f t="shared" si="6"/>
        <v>0</v>
      </c>
      <c r="H28" s="110">
        <f t="shared" si="7"/>
        <v>0</v>
      </c>
      <c r="I28" s="129">
        <f t="shared" si="8"/>
        <v>0</v>
      </c>
      <c r="J28" s="129"/>
      <c r="K28" s="129"/>
      <c r="L28" s="161">
        <f t="shared" si="9"/>
        <v>0</v>
      </c>
    </row>
    <row r="29" spans="1:15" hidden="1" x14ac:dyDescent="0.35">
      <c r="D29" s="41" t="e">
        <f>+#REF!</f>
        <v>#REF!</v>
      </c>
      <c r="E29" s="129">
        <f t="shared" si="10"/>
        <v>0</v>
      </c>
      <c r="F29" s="149">
        <f t="shared" si="5"/>
        <v>0</v>
      </c>
      <c r="G29" s="129">
        <f t="shared" si="6"/>
        <v>0</v>
      </c>
      <c r="H29" s="110">
        <f t="shared" si="7"/>
        <v>0</v>
      </c>
      <c r="I29" s="129">
        <f t="shared" si="8"/>
        <v>0</v>
      </c>
      <c r="J29" s="129"/>
      <c r="K29" s="129"/>
      <c r="L29" s="161">
        <f t="shared" si="9"/>
        <v>0</v>
      </c>
      <c r="N29" s="38"/>
    </row>
    <row r="30" spans="1:15" hidden="1" x14ac:dyDescent="0.35">
      <c r="D30" s="41" t="e">
        <f>+#REF!</f>
        <v>#REF!</v>
      </c>
      <c r="E30" s="129">
        <f t="shared" si="10"/>
        <v>0</v>
      </c>
      <c r="F30" s="149">
        <f t="shared" si="5"/>
        <v>0</v>
      </c>
      <c r="G30" s="129">
        <f t="shared" si="6"/>
        <v>0</v>
      </c>
      <c r="H30" s="110">
        <f t="shared" si="7"/>
        <v>0</v>
      </c>
      <c r="I30" s="129">
        <f t="shared" si="8"/>
        <v>0</v>
      </c>
      <c r="J30" s="129"/>
      <c r="K30" s="129"/>
      <c r="L30" s="161">
        <f t="shared" si="9"/>
        <v>0</v>
      </c>
    </row>
    <row r="31" spans="1:15" hidden="1" x14ac:dyDescent="0.35">
      <c r="D31" s="41" t="e">
        <f>+#REF!</f>
        <v>#REF!</v>
      </c>
      <c r="E31" s="129">
        <f t="shared" si="10"/>
        <v>0</v>
      </c>
      <c r="F31" s="149">
        <f t="shared" si="5"/>
        <v>0</v>
      </c>
      <c r="G31" s="129">
        <f t="shared" si="6"/>
        <v>0</v>
      </c>
      <c r="H31" s="110">
        <f t="shared" si="7"/>
        <v>0</v>
      </c>
      <c r="I31" s="129">
        <f t="shared" si="8"/>
        <v>0</v>
      </c>
      <c r="J31" s="129"/>
      <c r="K31" s="129"/>
      <c r="L31" s="161">
        <f t="shared" si="9"/>
        <v>0</v>
      </c>
    </row>
    <row r="32" spans="1:15" hidden="1" x14ac:dyDescent="0.35">
      <c r="D32" s="41" t="e">
        <f>+#REF!</f>
        <v>#REF!</v>
      </c>
      <c r="E32" s="129">
        <f t="shared" si="10"/>
        <v>0</v>
      </c>
      <c r="F32" s="149">
        <f t="shared" si="5"/>
        <v>0</v>
      </c>
      <c r="G32" s="129">
        <f t="shared" si="6"/>
        <v>0</v>
      </c>
      <c r="H32" s="110">
        <f t="shared" si="7"/>
        <v>0</v>
      </c>
      <c r="I32" s="129">
        <f t="shared" si="8"/>
        <v>0</v>
      </c>
      <c r="J32" s="129"/>
      <c r="K32" s="129"/>
      <c r="L32" s="161">
        <f t="shared" si="9"/>
        <v>0</v>
      </c>
    </row>
    <row r="33" spans="3:12" hidden="1" x14ac:dyDescent="0.35">
      <c r="D33" s="42" t="s">
        <v>51</v>
      </c>
      <c r="E33" s="58" t="e">
        <f t="shared" ref="E33:L33" si="11">SUM(E26:E32)</f>
        <v>#REF!</v>
      </c>
      <c r="F33" s="150" t="e">
        <f t="shared" si="11"/>
        <v>#REF!</v>
      </c>
      <c r="G33" s="58">
        <f t="shared" si="11"/>
        <v>0</v>
      </c>
      <c r="H33" s="111">
        <f t="shared" si="11"/>
        <v>0</v>
      </c>
      <c r="I33" s="58">
        <f t="shared" si="11"/>
        <v>0</v>
      </c>
      <c r="J33" s="58"/>
      <c r="K33" s="58"/>
      <c r="L33" s="58">
        <f t="shared" si="11"/>
        <v>0</v>
      </c>
    </row>
    <row r="37" spans="3:12" ht="21" x14ac:dyDescent="0.5">
      <c r="C37" s="86"/>
      <c r="D37" s="86"/>
      <c r="E37" s="130"/>
      <c r="F37" s="151"/>
      <c r="G37" s="130"/>
      <c r="H37" s="112"/>
      <c r="I37" s="130"/>
      <c r="J37" s="130"/>
      <c r="K37" s="130"/>
    </row>
    <row r="38" spans="3:12" ht="21" x14ac:dyDescent="0.5">
      <c r="C38" s="86"/>
      <c r="D38" s="86"/>
      <c r="E38" s="130"/>
      <c r="F38" s="151"/>
      <c r="G38" s="130"/>
      <c r="H38" s="112"/>
      <c r="I38" s="130"/>
      <c r="J38" s="130"/>
      <c r="K38" s="130"/>
    </row>
    <row r="39" spans="3:12" ht="21" x14ac:dyDescent="0.5">
      <c r="C39" s="86"/>
      <c r="D39" s="86"/>
      <c r="E39" s="130"/>
      <c r="F39" s="151"/>
      <c r="G39" s="130"/>
      <c r="H39" s="112"/>
      <c r="I39" s="130"/>
      <c r="J39" s="130"/>
      <c r="K39" s="130"/>
    </row>
    <row r="40" spans="3:12" ht="21" x14ac:dyDescent="0.5">
      <c r="C40" s="86"/>
      <c r="D40" s="86"/>
      <c r="E40" s="130"/>
      <c r="F40" s="151"/>
      <c r="G40" s="130"/>
      <c r="H40" s="112"/>
      <c r="I40" s="130"/>
      <c r="J40" s="130"/>
      <c r="K40" s="130"/>
    </row>
  </sheetData>
  <sheetProtection selectLockedCells="1"/>
  <autoFilter ref="A4:L23" xr:uid="{00000000-0009-0000-0000-000000000000}"/>
  <dataConsolidate/>
  <mergeCells count="5">
    <mergeCell ref="A2:L2"/>
    <mergeCell ref="A5:L5"/>
    <mergeCell ref="A8:L8"/>
    <mergeCell ref="A1:L1"/>
    <mergeCell ref="A19:L19"/>
  </mergeCells>
  <dataValidations count="2">
    <dataValidation type="list" allowBlank="1" showInputMessage="1" showErrorMessage="1" sqref="A7 A17" xr:uid="{00000000-0002-0000-0000-000000000000}">
      <formula1>$O$6:$O$18</formula1>
    </dataValidation>
    <dataValidation type="list" allowBlank="1" showInputMessage="1" showErrorMessage="1" sqref="A6" xr:uid="{00000000-0002-0000-0000-000001000000}">
      <formula1>$N$6:$N$18</formula1>
    </dataValidation>
  </dataValidations>
  <printOptions horizontalCentered="1"/>
  <pageMargins left="0.7" right="0.7" top="0.75" bottom="0.75" header="0.3" footer="0.3"/>
  <pageSetup scale="42" fitToHeight="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P31"/>
  <sheetViews>
    <sheetView tabSelected="1" zoomScale="80" zoomScaleNormal="80" workbookViewId="0">
      <pane xSplit="13" ySplit="4" topLeftCell="N5" activePane="bottomRight" state="frozen"/>
      <selection pane="topRight" activeCell="R1" sqref="R1"/>
      <selection pane="bottomLeft" activeCell="A5" sqref="A5"/>
      <selection pane="bottomRight" activeCell="H5" sqref="H5"/>
    </sheetView>
  </sheetViews>
  <sheetFormatPr defaultRowHeight="14.5" outlineLevelCol="1" x14ac:dyDescent="0.35"/>
  <cols>
    <col min="1" max="1" width="13.179687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style="127" bestFit="1" customWidth="1"/>
    <col min="8" max="8" width="14.54296875" style="108" bestFit="1" customWidth="1"/>
    <col min="9" max="9" width="13.1796875" style="247" customWidth="1"/>
    <col min="10" max="11" width="13.1796875" style="127" customWidth="1"/>
    <col min="12" max="12" width="13" style="127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ht="30.75" customHeight="1" thickBot="1" x14ac:dyDescent="0.55000000000000004">
      <c r="A1" s="256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</row>
    <row r="2" spans="1:15" ht="24" customHeight="1" thickBot="1" x14ac:dyDescent="0.4">
      <c r="A2" s="7"/>
      <c r="B2" s="8"/>
      <c r="C2" s="8"/>
      <c r="D2" s="9"/>
      <c r="E2" s="174" t="s">
        <v>1</v>
      </c>
      <c r="F2" s="174" t="s">
        <v>2</v>
      </c>
      <c r="G2" s="122" t="s">
        <v>3</v>
      </c>
      <c r="H2" s="105" t="s">
        <v>4</v>
      </c>
      <c r="I2" s="240" t="s">
        <v>5</v>
      </c>
      <c r="J2" s="122" t="s">
        <v>6</v>
      </c>
      <c r="K2" s="122" t="s">
        <v>7</v>
      </c>
      <c r="L2" s="152" t="s">
        <v>8</v>
      </c>
      <c r="M2" s="3"/>
      <c r="N2" s="2"/>
    </row>
    <row r="3" spans="1:15" ht="91.5" thickBot="1" x14ac:dyDescent="0.4">
      <c r="A3" s="212" t="s">
        <v>9</v>
      </c>
      <c r="B3" s="213" t="s">
        <v>10</v>
      </c>
      <c r="C3" s="213" t="s">
        <v>11</v>
      </c>
      <c r="D3" s="213" t="s">
        <v>12</v>
      </c>
      <c r="E3" s="213" t="s">
        <v>13</v>
      </c>
      <c r="F3" s="213" t="s">
        <v>88</v>
      </c>
      <c r="G3" s="214" t="s">
        <v>87</v>
      </c>
      <c r="H3" s="215" t="s">
        <v>15</v>
      </c>
      <c r="I3" s="241" t="s">
        <v>84</v>
      </c>
      <c r="J3" s="216" t="s">
        <v>16</v>
      </c>
      <c r="K3" s="216" t="s">
        <v>85</v>
      </c>
      <c r="L3" s="217" t="s">
        <v>89</v>
      </c>
      <c r="M3" s="175" t="s">
        <v>17</v>
      </c>
      <c r="N3" s="1"/>
      <c r="O3" s="176" t="s">
        <v>18</v>
      </c>
    </row>
    <row r="4" spans="1:15" ht="18.5" x14ac:dyDescent="0.35">
      <c r="A4" s="265" t="s">
        <v>53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7"/>
      <c r="M4" s="177"/>
      <c r="N4" s="1"/>
      <c r="O4" s="176"/>
    </row>
    <row r="5" spans="1:15" s="179" customFormat="1" ht="43.5" x14ac:dyDescent="0.35">
      <c r="A5" s="178" t="s">
        <v>54</v>
      </c>
      <c r="B5" s="92" t="s">
        <v>55</v>
      </c>
      <c r="C5" s="98" t="s">
        <v>56</v>
      </c>
      <c r="D5" s="77"/>
      <c r="E5" s="95">
        <v>55</v>
      </c>
      <c r="F5" s="94">
        <f>G5/E5</f>
        <v>6.127272727272727</v>
      </c>
      <c r="G5" s="93">
        <v>337</v>
      </c>
      <c r="H5" s="102">
        <v>8.3500000000000005E-2</v>
      </c>
      <c r="I5" s="242">
        <f>G5*H5</f>
        <v>28.139500000000002</v>
      </c>
      <c r="J5" s="136">
        <v>41.75</v>
      </c>
      <c r="K5" s="136">
        <f>J5+I5</f>
        <v>69.889499999999998</v>
      </c>
      <c r="L5" s="153">
        <f>I5</f>
        <v>28.139500000000002</v>
      </c>
      <c r="O5" s="180"/>
    </row>
    <row r="6" spans="1:15" ht="15.5" x14ac:dyDescent="0.35">
      <c r="A6" s="181"/>
      <c r="B6" s="182"/>
      <c r="C6" s="183" t="s">
        <v>22</v>
      </c>
      <c r="D6" s="184"/>
      <c r="E6" s="185">
        <f>+MAX(E5:E5)</f>
        <v>55</v>
      </c>
      <c r="F6" s="186">
        <f>IF(E6=0,"",G6/E6)</f>
        <v>6.127272727272727</v>
      </c>
      <c r="G6" s="187">
        <f>SUM(G5:G5)</f>
        <v>337</v>
      </c>
      <c r="H6" s="188">
        <f>I6/G6</f>
        <v>8.3500000000000005E-2</v>
      </c>
      <c r="I6" s="243">
        <f>SUM(I5:I5)</f>
        <v>28.139500000000002</v>
      </c>
      <c r="J6" s="189">
        <f>J5</f>
        <v>41.75</v>
      </c>
      <c r="K6" s="189">
        <f>K5</f>
        <v>69.889499999999998</v>
      </c>
      <c r="L6" s="49">
        <f>SUM(L5:L5)</f>
        <v>28.139500000000002</v>
      </c>
      <c r="O6" s="104"/>
    </row>
    <row r="7" spans="1:15" ht="18.75" customHeight="1" x14ac:dyDescent="0.35">
      <c r="A7" s="265" t="s">
        <v>57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7"/>
      <c r="M7" s="177"/>
      <c r="N7" s="1"/>
      <c r="O7" s="104"/>
    </row>
    <row r="8" spans="1:15" ht="18.75" customHeight="1" x14ac:dyDescent="0.35">
      <c r="A8" s="252"/>
      <c r="B8" s="253"/>
      <c r="C8" s="253"/>
      <c r="D8" s="253"/>
      <c r="E8" s="253"/>
      <c r="F8" s="253"/>
      <c r="G8" s="190"/>
      <c r="H8" s="253"/>
      <c r="I8" s="244"/>
      <c r="J8" s="190"/>
      <c r="K8" s="190"/>
      <c r="L8" s="191"/>
      <c r="M8" s="177"/>
      <c r="N8" s="1"/>
      <c r="O8" s="104"/>
    </row>
    <row r="9" spans="1:15" s="90" customFormat="1" ht="57.65" customHeight="1" x14ac:dyDescent="0.35">
      <c r="A9" s="192" t="s">
        <v>26</v>
      </c>
      <c r="B9" s="193" t="s">
        <v>58</v>
      </c>
      <c r="C9" s="193" t="s">
        <v>59</v>
      </c>
      <c r="D9" s="117"/>
      <c r="E9" s="208">
        <f>14977+26</f>
        <v>15003</v>
      </c>
      <c r="F9" s="195">
        <v>1</v>
      </c>
      <c r="G9" s="194">
        <f>E9*F9</f>
        <v>15003</v>
      </c>
      <c r="H9" s="119">
        <v>8.3500000000000005E-2</v>
      </c>
      <c r="I9" s="255">
        <f>G9*H9</f>
        <v>1252.7505000000001</v>
      </c>
      <c r="J9" s="196">
        <v>1280.9000000000001</v>
      </c>
      <c r="K9" s="196">
        <f>I9</f>
        <v>1252.7505000000001</v>
      </c>
      <c r="L9" s="197">
        <f>K9-J9</f>
        <v>-28.149499999999989</v>
      </c>
      <c r="M9" s="177"/>
      <c r="N9" s="198"/>
      <c r="O9" s="199"/>
    </row>
    <row r="10" spans="1:15" ht="43.5" x14ac:dyDescent="0.35">
      <c r="A10" s="192" t="s">
        <v>54</v>
      </c>
      <c r="B10" s="101" t="s">
        <v>60</v>
      </c>
      <c r="C10" s="98" t="s">
        <v>61</v>
      </c>
      <c r="D10" s="117"/>
      <c r="E10" s="156">
        <v>337</v>
      </c>
      <c r="F10" s="118">
        <v>1</v>
      </c>
      <c r="G10" s="156">
        <f>E10*F10</f>
        <v>337</v>
      </c>
      <c r="H10" s="119">
        <v>0.90180000000000005</v>
      </c>
      <c r="I10" s="245">
        <f>G10*H10</f>
        <v>303.90660000000003</v>
      </c>
      <c r="J10" s="157">
        <v>451</v>
      </c>
      <c r="K10" s="157">
        <f>J10+I10</f>
        <v>754.90660000000003</v>
      </c>
      <c r="L10" s="153">
        <f>I10</f>
        <v>303.90660000000003</v>
      </c>
      <c r="O10" s="71"/>
    </row>
    <row r="11" spans="1:15" ht="31" x14ac:dyDescent="0.35">
      <c r="A11" s="61"/>
      <c r="B11" s="62"/>
      <c r="C11" s="63" t="s">
        <v>42</v>
      </c>
      <c r="D11" s="64"/>
      <c r="E11" s="60">
        <f>MAX(E9:E10)</f>
        <v>15003</v>
      </c>
      <c r="F11" s="70">
        <f>IF(E11=0,"",G11/E11)</f>
        <v>1.0224621742318203</v>
      </c>
      <c r="G11" s="60">
        <f>SUM(G9:G10)</f>
        <v>15340</v>
      </c>
      <c r="H11" s="113">
        <f>I11/G11</f>
        <v>0.10147699478487615</v>
      </c>
      <c r="I11" s="246">
        <f>SUM(I9:I10)</f>
        <v>1556.6571000000001</v>
      </c>
      <c r="J11" s="154">
        <f>J9+J10</f>
        <v>1731.9</v>
      </c>
      <c r="K11" s="154">
        <f>K9+K10</f>
        <v>2007.6571000000001</v>
      </c>
      <c r="L11" s="155">
        <f>SUM(L9:L10)</f>
        <v>275.75710000000004</v>
      </c>
      <c r="O11" s="71"/>
    </row>
    <row r="12" spans="1:15" ht="25.5" customHeight="1" thickBot="1" x14ac:dyDescent="0.4">
      <c r="A12" s="32"/>
      <c r="B12" s="33"/>
      <c r="C12" s="34" t="s">
        <v>62</v>
      </c>
      <c r="D12" s="35"/>
      <c r="E12" s="56">
        <f>+E6+E11</f>
        <v>15058</v>
      </c>
      <c r="F12" s="51">
        <f>G12/E12</f>
        <v>1.0411077168282641</v>
      </c>
      <c r="G12" s="126">
        <f>+G6+G11</f>
        <v>15677</v>
      </c>
      <c r="H12" s="87">
        <f>I12/G12</f>
        <v>0.10109055303948461</v>
      </c>
      <c r="I12" s="126">
        <f>+I6+I11</f>
        <v>1584.7966000000001</v>
      </c>
      <c r="J12" s="140">
        <f>J11+J6</f>
        <v>1773.65</v>
      </c>
      <c r="K12" s="140">
        <f>K6+K11</f>
        <v>2077.5466000000001</v>
      </c>
      <c r="L12" s="100">
        <f>+L6+L11</f>
        <v>303.89660000000003</v>
      </c>
    </row>
    <row r="14" spans="1:15" ht="77.5" hidden="1" x14ac:dyDescent="0.35">
      <c r="D14" s="39" t="str">
        <f>+A3</f>
        <v>Program Rule</v>
      </c>
      <c r="E14" s="40" t="str">
        <f t="shared" ref="E14:L14" si="0">+E3</f>
        <v>Estimated # Respondents</v>
      </c>
      <c r="F14" s="40" t="str">
        <f t="shared" si="0"/>
        <v>Frequency of Responses</v>
      </c>
      <c r="G14" s="158" t="str">
        <f t="shared" si="0"/>
        <v>Total Annual Responses</v>
      </c>
      <c r="H14" s="114" t="str">
        <f t="shared" si="0"/>
        <v>Estimated Avg. # of Hours Per Response</v>
      </c>
      <c r="I14" s="248" t="str">
        <f t="shared" si="0"/>
        <v xml:space="preserve">Estimated Total Annual Burden Hours for OMB# 0584-00xx Due to Proposed Rulemaking </v>
      </c>
      <c r="J14" s="159"/>
      <c r="K14" s="159"/>
      <c r="L14" s="160" t="str">
        <f t="shared" si="0"/>
        <v>Estimated Future Change in Burden Hours for OMB# 0584-0026 Due to Rulemaking</v>
      </c>
    </row>
    <row r="15" spans="1:15" hidden="1" x14ac:dyDescent="0.35">
      <c r="D15" s="41" t="e">
        <f>+#REF!</f>
        <v>#REF!</v>
      </c>
      <c r="E15" s="57" t="e">
        <f>+SUM($E$6+$E$11+#REF!)</f>
        <v>#REF!</v>
      </c>
      <c r="F15" s="65" t="e">
        <f>+G15/E15</f>
        <v>#REF!</v>
      </c>
      <c r="G15" s="129">
        <f t="shared" ref="G15:G23" si="1">+SUMIF($A$5:$A$11,D15,($G$5:$G$11))</f>
        <v>0</v>
      </c>
      <c r="H15" s="110">
        <f t="shared" ref="H15:H23" si="2">IF(G15&gt;0,I15/G15,0)</f>
        <v>0</v>
      </c>
      <c r="I15" s="249">
        <f t="shared" ref="I15:I23" si="3">+SUMIF($A$5:$A$11,D15,($I$5:$I$11))</f>
        <v>0</v>
      </c>
      <c r="J15" s="129"/>
      <c r="K15" s="129"/>
      <c r="L15" s="161">
        <f t="shared" ref="L15:L23" si="4">+SUMIF($A$5:$A$11,D15,($L$5:$L$11))</f>
        <v>0</v>
      </c>
    </row>
    <row r="16" spans="1:15" hidden="1" x14ac:dyDescent="0.35">
      <c r="D16" s="41" t="e">
        <f>+#REF!</f>
        <v>#REF!</v>
      </c>
      <c r="E16" s="37">
        <f t="shared" ref="E16:E23" si="5">+SUMIF($A$5:$A$11,D16,($E$5:$E$11))</f>
        <v>0</v>
      </c>
      <c r="F16" s="65" t="e">
        <f>+G16/E16</f>
        <v>#DIV/0!</v>
      </c>
      <c r="G16" s="129">
        <f t="shared" si="1"/>
        <v>0</v>
      </c>
      <c r="H16" s="110">
        <f t="shared" si="2"/>
        <v>0</v>
      </c>
      <c r="I16" s="249">
        <f t="shared" si="3"/>
        <v>0</v>
      </c>
      <c r="J16" s="129"/>
      <c r="K16" s="129"/>
      <c r="L16" s="161">
        <f t="shared" si="4"/>
        <v>0</v>
      </c>
    </row>
    <row r="17" spans="3:16" hidden="1" x14ac:dyDescent="0.35">
      <c r="D17" s="41" t="e">
        <f>+#REF!</f>
        <v>#REF!</v>
      </c>
      <c r="E17" s="37">
        <f t="shared" si="5"/>
        <v>0</v>
      </c>
      <c r="F17" s="65">
        <f t="shared" ref="F17:F23" si="6">IF(E17&gt;0,G17/E17,0)</f>
        <v>0</v>
      </c>
      <c r="G17" s="129">
        <f t="shared" si="1"/>
        <v>0</v>
      </c>
      <c r="H17" s="110">
        <f t="shared" si="2"/>
        <v>0</v>
      </c>
      <c r="I17" s="249">
        <f t="shared" si="3"/>
        <v>0</v>
      </c>
      <c r="J17" s="129"/>
      <c r="K17" s="129"/>
      <c r="L17" s="161">
        <f t="shared" si="4"/>
        <v>0</v>
      </c>
    </row>
    <row r="18" spans="3:16" hidden="1" x14ac:dyDescent="0.35">
      <c r="D18" s="41" t="e">
        <f>+#REF!</f>
        <v>#REF!</v>
      </c>
      <c r="E18" s="37">
        <f t="shared" si="5"/>
        <v>0</v>
      </c>
      <c r="F18" s="65">
        <f t="shared" si="6"/>
        <v>0</v>
      </c>
      <c r="G18" s="129">
        <f t="shared" si="1"/>
        <v>0</v>
      </c>
      <c r="H18" s="110">
        <f t="shared" si="2"/>
        <v>0</v>
      </c>
      <c r="I18" s="249">
        <f t="shared" si="3"/>
        <v>0</v>
      </c>
      <c r="J18" s="129"/>
      <c r="K18" s="129"/>
      <c r="L18" s="161">
        <f t="shared" si="4"/>
        <v>0</v>
      </c>
      <c r="N18" s="38"/>
    </row>
    <row r="19" spans="3:16" hidden="1" x14ac:dyDescent="0.35">
      <c r="D19" s="41" t="e">
        <f>+#REF!</f>
        <v>#REF!</v>
      </c>
      <c r="E19" s="37">
        <f t="shared" si="5"/>
        <v>0</v>
      </c>
      <c r="F19" s="65">
        <f t="shared" si="6"/>
        <v>0</v>
      </c>
      <c r="G19" s="129">
        <f t="shared" si="1"/>
        <v>0</v>
      </c>
      <c r="H19" s="110">
        <f t="shared" si="2"/>
        <v>0</v>
      </c>
      <c r="I19" s="249">
        <f t="shared" si="3"/>
        <v>0</v>
      </c>
      <c r="J19" s="129"/>
      <c r="K19" s="129"/>
      <c r="L19" s="161">
        <f t="shared" si="4"/>
        <v>0</v>
      </c>
    </row>
    <row r="20" spans="3:16" hidden="1" x14ac:dyDescent="0.35">
      <c r="D20" s="41" t="e">
        <f>+#REF!</f>
        <v>#REF!</v>
      </c>
      <c r="E20" s="37">
        <f t="shared" si="5"/>
        <v>0</v>
      </c>
      <c r="F20" s="65">
        <f t="shared" si="6"/>
        <v>0</v>
      </c>
      <c r="G20" s="129">
        <f t="shared" si="1"/>
        <v>0</v>
      </c>
      <c r="H20" s="110">
        <f t="shared" si="2"/>
        <v>0</v>
      </c>
      <c r="I20" s="249">
        <f t="shared" si="3"/>
        <v>0</v>
      </c>
      <c r="J20" s="129"/>
      <c r="K20" s="129"/>
      <c r="L20" s="161">
        <f t="shared" si="4"/>
        <v>0</v>
      </c>
    </row>
    <row r="21" spans="3:16" hidden="1" x14ac:dyDescent="0.35">
      <c r="D21" s="41">
        <f>+O6</f>
        <v>0</v>
      </c>
      <c r="E21" s="37">
        <f t="shared" si="5"/>
        <v>0</v>
      </c>
      <c r="F21" s="65">
        <f t="shared" si="6"/>
        <v>0</v>
      </c>
      <c r="G21" s="129">
        <f t="shared" si="1"/>
        <v>0</v>
      </c>
      <c r="H21" s="110">
        <f t="shared" si="2"/>
        <v>0</v>
      </c>
      <c r="I21" s="249">
        <f t="shared" si="3"/>
        <v>0</v>
      </c>
      <c r="J21" s="129"/>
      <c r="K21" s="129"/>
      <c r="L21" s="161">
        <f t="shared" si="4"/>
        <v>0</v>
      </c>
    </row>
    <row r="22" spans="3:16" hidden="1" x14ac:dyDescent="0.35">
      <c r="D22" s="41">
        <f>+O7</f>
        <v>0</v>
      </c>
      <c r="E22" s="37">
        <f t="shared" si="5"/>
        <v>0</v>
      </c>
      <c r="F22" s="65">
        <f t="shared" si="6"/>
        <v>0</v>
      </c>
      <c r="G22" s="129">
        <f t="shared" si="1"/>
        <v>0</v>
      </c>
      <c r="H22" s="110">
        <f t="shared" si="2"/>
        <v>0</v>
      </c>
      <c r="I22" s="249">
        <f t="shared" si="3"/>
        <v>0</v>
      </c>
      <c r="J22" s="129"/>
      <c r="K22" s="129"/>
      <c r="L22" s="161">
        <f t="shared" si="4"/>
        <v>0</v>
      </c>
    </row>
    <row r="23" spans="3:16" hidden="1" x14ac:dyDescent="0.35">
      <c r="D23" s="41" t="e">
        <f>+#REF!</f>
        <v>#REF!</v>
      </c>
      <c r="E23" s="37">
        <f t="shared" si="5"/>
        <v>0</v>
      </c>
      <c r="F23" s="65">
        <f t="shared" si="6"/>
        <v>0</v>
      </c>
      <c r="G23" s="129">
        <f t="shared" si="1"/>
        <v>0</v>
      </c>
      <c r="H23" s="110">
        <f t="shared" si="2"/>
        <v>0</v>
      </c>
      <c r="I23" s="249">
        <f t="shared" si="3"/>
        <v>0</v>
      </c>
      <c r="J23" s="129"/>
      <c r="K23" s="129"/>
      <c r="L23" s="161">
        <f t="shared" si="4"/>
        <v>0</v>
      </c>
    </row>
    <row r="24" spans="3:16" hidden="1" x14ac:dyDescent="0.35">
      <c r="D24" s="42" t="s">
        <v>51</v>
      </c>
      <c r="E24" s="66" t="e">
        <f t="shared" ref="E24:L24" si="7">SUM(E15:E23)</f>
        <v>#REF!</v>
      </c>
      <c r="F24" s="67" t="e">
        <f t="shared" si="7"/>
        <v>#REF!</v>
      </c>
      <c r="G24" s="68">
        <f t="shared" si="7"/>
        <v>0</v>
      </c>
      <c r="H24" s="115">
        <f t="shared" si="7"/>
        <v>0</v>
      </c>
      <c r="I24" s="250">
        <f t="shared" si="7"/>
        <v>0</v>
      </c>
      <c r="J24" s="68"/>
      <c r="K24" s="68"/>
      <c r="L24" s="68">
        <f t="shared" si="7"/>
        <v>0</v>
      </c>
    </row>
    <row r="28" spans="3:16" x14ac:dyDescent="0.35">
      <c r="E28" s="90"/>
    </row>
    <row r="29" spans="3:16" ht="18" x14ac:dyDescent="0.4">
      <c r="C29" s="84"/>
    </row>
    <row r="31" spans="3:16" ht="18.5" x14ac:dyDescent="0.45">
      <c r="C31" s="83"/>
      <c r="D31" s="85"/>
      <c r="E31" s="85"/>
      <c r="F31" s="85"/>
      <c r="G31" s="162"/>
      <c r="H31" s="116"/>
      <c r="I31" s="251"/>
      <c r="J31" s="162"/>
      <c r="K31" s="162"/>
      <c r="L31" s="163"/>
      <c r="M31" s="82"/>
      <c r="N31" s="82"/>
      <c r="O31" s="82"/>
      <c r="P31" s="82"/>
    </row>
  </sheetData>
  <sheetProtection selectLockedCells="1"/>
  <autoFilter ref="A3:L12" xr:uid="{00000000-0009-0000-0000-000001000000}"/>
  <dataConsolidate/>
  <mergeCells count="3">
    <mergeCell ref="A1:L1"/>
    <mergeCell ref="A4:L4"/>
    <mergeCell ref="A7:L7"/>
  </mergeCells>
  <dataValidations count="3">
    <dataValidation type="list" allowBlank="1" showInputMessage="1" showErrorMessage="1" sqref="A5 A10" xr:uid="{00000000-0002-0000-0100-000001000000}">
      <formula1>$N$5:$N$11</formula1>
    </dataValidation>
    <dataValidation type="list" allowBlank="1" showInputMessage="1" showErrorMessage="1" sqref="A11 A6" xr:uid="{00000000-0002-0000-0100-000000000000}">
      <formula1>$O$5:$O$11</formula1>
    </dataValidation>
    <dataValidation type="list" allowBlank="1" showInputMessage="1" showErrorMessage="1" sqref="A9" xr:uid="{8EB32E10-2248-4F54-9640-CBD3E9A30D9A}">
      <formula1>$R$5:$R$18</formula1>
    </dataValidation>
  </dataValidations>
  <printOptions horizontalCentered="1"/>
  <pageMargins left="0.7" right="0.7" top="0.75" bottom="0.75" header="0.3" footer="0.3"/>
  <pageSetup scale="59" fitToHeight="0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15:G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28"/>
  <sheetViews>
    <sheetView workbookViewId="0">
      <selection activeCell="F14" sqref="F14"/>
    </sheetView>
  </sheetViews>
  <sheetFormatPr defaultRowHeight="14.5" x14ac:dyDescent="0.35"/>
  <cols>
    <col min="1" max="1" width="32.26953125" customWidth="1"/>
    <col min="2" max="2" width="14.26953125" bestFit="1" customWidth="1"/>
    <col min="3" max="3" width="13.7265625" bestFit="1" customWidth="1"/>
    <col min="4" max="4" width="19" bestFit="1" customWidth="1"/>
    <col min="5" max="5" width="18.54296875" bestFit="1" customWidth="1"/>
    <col min="6" max="6" width="15.26953125" bestFit="1" customWidth="1"/>
  </cols>
  <sheetData>
    <row r="1" spans="1:7" ht="15" x14ac:dyDescent="0.35">
      <c r="A1" s="268" t="s">
        <v>63</v>
      </c>
      <c r="B1" s="269"/>
      <c r="C1" s="269"/>
      <c r="D1" s="269"/>
      <c r="E1" s="269"/>
      <c r="F1" s="270"/>
    </row>
    <row r="2" spans="1:7" ht="13.5" customHeight="1" x14ac:dyDescent="0.35">
      <c r="A2" s="12"/>
      <c r="B2" s="13"/>
      <c r="C2" s="13"/>
      <c r="D2" s="13"/>
      <c r="E2" s="13"/>
      <c r="F2" s="14"/>
    </row>
    <row r="3" spans="1:7" ht="48" customHeight="1" x14ac:dyDescent="0.35">
      <c r="A3" s="24" t="s">
        <v>64</v>
      </c>
      <c r="B3" s="24" t="s">
        <v>13</v>
      </c>
      <c r="C3" s="24" t="s">
        <v>65</v>
      </c>
      <c r="D3" s="24" t="s">
        <v>66</v>
      </c>
      <c r="E3" s="24" t="s">
        <v>15</v>
      </c>
      <c r="F3" s="24" t="s">
        <v>67</v>
      </c>
    </row>
    <row r="4" spans="1:7" ht="15" x14ac:dyDescent="0.35">
      <c r="A4" s="23" t="s">
        <v>52</v>
      </c>
      <c r="B4" s="22"/>
      <c r="C4" s="22"/>
      <c r="D4" s="22"/>
      <c r="E4" s="22"/>
      <c r="F4" s="22"/>
    </row>
    <row r="5" spans="1:7" ht="15.75" customHeight="1" x14ac:dyDescent="0.35">
      <c r="A5" s="15" t="s">
        <v>68</v>
      </c>
      <c r="B5" s="16">
        <f>+RecordKeeping!E6</f>
        <v>55</v>
      </c>
      <c r="C5" s="78">
        <f>+RecordKeeping!F6</f>
        <v>6.127272727272727</v>
      </c>
      <c r="D5" s="16">
        <f>+RecordKeeping!G6</f>
        <v>337</v>
      </c>
      <c r="E5" s="97">
        <f>+RecordKeeping!H6</f>
        <v>8.3500000000000005E-2</v>
      </c>
      <c r="F5" s="16">
        <f>+RecordKeeping!I6</f>
        <v>28.139500000000002</v>
      </c>
      <c r="G5" s="18"/>
    </row>
    <row r="6" spans="1:7" x14ac:dyDescent="0.35">
      <c r="A6" s="19" t="s">
        <v>69</v>
      </c>
      <c r="B6" s="17">
        <f>+RecordKeeping!E11</f>
        <v>15003</v>
      </c>
      <c r="C6" s="79">
        <f>+RecordKeeping!F11</f>
        <v>1.0224621742318203</v>
      </c>
      <c r="D6" s="16">
        <f>+RecordKeeping!G11</f>
        <v>15340</v>
      </c>
      <c r="E6" s="88">
        <f>+RecordKeeping!H11</f>
        <v>0.10147699478487615</v>
      </c>
      <c r="F6" s="16">
        <f>+RecordKeeping!I11</f>
        <v>1556.6571000000001</v>
      </c>
      <c r="G6" s="20"/>
    </row>
    <row r="7" spans="1:7" ht="19.5" customHeight="1" x14ac:dyDescent="0.35">
      <c r="A7" s="27" t="s">
        <v>70</v>
      </c>
      <c r="B7" s="17">
        <f>SUBTOTAL(109,B5:B6)</f>
        <v>15058</v>
      </c>
      <c r="C7" s="78">
        <f>+D7/B7</f>
        <v>1.0411077168282641</v>
      </c>
      <c r="D7" s="17">
        <f>SUBTOTAL(109,D5:D6)</f>
        <v>15677</v>
      </c>
      <c r="E7" s="89">
        <f>+F7/D7</f>
        <v>0.10109055303948461</v>
      </c>
      <c r="F7" s="17">
        <f>SUBTOTAL(109,F5:F6)</f>
        <v>1584.7966000000001</v>
      </c>
      <c r="G7" s="20"/>
    </row>
    <row r="8" spans="1:7" ht="15" x14ac:dyDescent="0.35">
      <c r="A8" s="26" t="s">
        <v>0</v>
      </c>
      <c r="B8" s="25"/>
      <c r="C8" s="25"/>
      <c r="D8" s="25"/>
      <c r="E8" s="25"/>
      <c r="F8" s="25"/>
    </row>
    <row r="9" spans="1:7" ht="19.5" customHeight="1" x14ac:dyDescent="0.35">
      <c r="A9" s="29" t="s">
        <v>68</v>
      </c>
      <c r="B9" s="30">
        <f>+Reporting!E7</f>
        <v>55</v>
      </c>
      <c r="C9" s="80">
        <f>+Reporting!F7</f>
        <v>84.145454545454541</v>
      </c>
      <c r="D9" s="30">
        <f>+Reporting!G7</f>
        <v>4628</v>
      </c>
      <c r="E9" s="80">
        <f>+Reporting!H7</f>
        <v>5.0099999999999999E-2</v>
      </c>
      <c r="F9" s="30">
        <f>+Reporting!I7</f>
        <v>231.86279999999999</v>
      </c>
      <c r="G9" s="20"/>
    </row>
    <row r="10" spans="1:7" ht="19.5" customHeight="1" x14ac:dyDescent="0.35">
      <c r="A10" s="74" t="s">
        <v>69</v>
      </c>
      <c r="B10" s="72">
        <f>+Reporting!E17</f>
        <v>15003</v>
      </c>
      <c r="C10" s="73">
        <f>+Reporting!F17</f>
        <v>572.06339598746911</v>
      </c>
      <c r="D10" s="72">
        <f>+Reporting!G17</f>
        <v>8582667.129999999</v>
      </c>
      <c r="E10" s="73">
        <f>+Reporting!H17</f>
        <v>1.9786103628837811E-2</v>
      </c>
      <c r="F10" s="72">
        <f>+Reporting!I17</f>
        <v>169817.54124599998</v>
      </c>
      <c r="G10" s="20"/>
    </row>
    <row r="11" spans="1:7" ht="19.5" customHeight="1" x14ac:dyDescent="0.35">
      <c r="A11" s="74" t="s">
        <v>71</v>
      </c>
      <c r="B11" s="72">
        <f>Reporting!E22</f>
        <v>3470131</v>
      </c>
      <c r="C11" s="73">
        <f>Reporting!F22</f>
        <v>1.0282882692324873</v>
      </c>
      <c r="D11" s="72">
        <f>Reporting!G22</f>
        <v>3568295</v>
      </c>
      <c r="E11" s="73">
        <f>Reporting!H22</f>
        <v>0.12743910296093794</v>
      </c>
      <c r="F11" s="72">
        <f>Reporting!I22</f>
        <v>454740.31390000001</v>
      </c>
      <c r="G11" s="20"/>
    </row>
    <row r="12" spans="1:7" ht="19.5" customHeight="1" x14ac:dyDescent="0.35">
      <c r="A12" s="75" t="s">
        <v>72</v>
      </c>
      <c r="B12" s="72">
        <f>SUBTOTAL(109,B9:B11)</f>
        <v>3485189</v>
      </c>
      <c r="C12" s="81">
        <f>+D12/B12</f>
        <v>3.4877850612979664</v>
      </c>
      <c r="D12" s="72">
        <f>SUBTOTAL(109,D9:D11)</f>
        <v>12155590.129999999</v>
      </c>
      <c r="E12" s="81">
        <f>+F12/D12</f>
        <v>5.1399373560977415E-2</v>
      </c>
      <c r="F12" s="72">
        <f>SUBTOTAL(109,F9:F11)</f>
        <v>624789.71794599993</v>
      </c>
      <c r="G12" s="20"/>
    </row>
    <row r="13" spans="1:7" ht="19.5" customHeight="1" x14ac:dyDescent="0.35">
      <c r="A13" s="21" t="s">
        <v>73</v>
      </c>
      <c r="B13" s="5">
        <f>B7</f>
        <v>15058</v>
      </c>
      <c r="C13" s="238">
        <f>Table2[[#This Row],[Total Annual Responses (Col. BxC)]]/Table2[[#This Row],[Estimated '# Respondents]]</f>
        <v>571.32236219949516</v>
      </c>
      <c r="D13" s="5">
        <f>D10+D9+D7</f>
        <v>8602972.129999999</v>
      </c>
      <c r="E13" s="69">
        <f>Table2[[#This Row],[Estimated Total Hours (Col. DxE)]]/Table2[[#This Row],[Total Annual Responses (Col. BxC)]]</f>
        <v>1.9950570343879516E-2</v>
      </c>
      <c r="F13" s="5">
        <f>F10+F9+F7</f>
        <v>171634.20064599998</v>
      </c>
      <c r="G13" s="20"/>
    </row>
    <row r="14" spans="1:7" ht="17.25" customHeight="1" x14ac:dyDescent="0.35">
      <c r="A14" s="21" t="s">
        <v>74</v>
      </c>
      <c r="B14" s="5">
        <f>B11+B7</f>
        <v>3485189</v>
      </c>
      <c r="C14" s="69">
        <f>+D14/B14</f>
        <v>3.4922832391586223</v>
      </c>
      <c r="D14" s="5">
        <f>+D7+D12</f>
        <v>12171267.129999999</v>
      </c>
      <c r="E14" s="69">
        <f>+F14/D14</f>
        <v>5.1463377465613143E-2</v>
      </c>
      <c r="F14" s="5">
        <f>+F7+F12</f>
        <v>626374.51454599993</v>
      </c>
      <c r="G14" s="18"/>
    </row>
    <row r="15" spans="1:7" x14ac:dyDescent="0.35">
      <c r="F15" s="76"/>
    </row>
    <row r="16" spans="1:7" x14ac:dyDescent="0.35">
      <c r="A16" s="236"/>
      <c r="B16" s="4"/>
      <c r="C16" s="121"/>
      <c r="D16" s="4"/>
      <c r="E16" s="4"/>
      <c r="F16" s="237"/>
      <c r="G16" s="4"/>
    </row>
    <row r="17" spans="1:6" x14ac:dyDescent="0.35">
      <c r="A17" s="170"/>
      <c r="B17" s="170"/>
      <c r="C17" s="170"/>
      <c r="D17" s="225"/>
      <c r="E17" s="170"/>
      <c r="F17" s="226"/>
    </row>
    <row r="18" spans="1:6" x14ac:dyDescent="0.35">
      <c r="A18" s="227"/>
      <c r="B18" s="227"/>
      <c r="C18" s="227"/>
      <c r="D18" s="227"/>
      <c r="E18" s="227"/>
      <c r="F18" s="227"/>
    </row>
    <row r="19" spans="1:6" x14ac:dyDescent="0.35">
      <c r="A19" s="228"/>
      <c r="B19" s="229"/>
      <c r="C19" s="227"/>
      <c r="D19" s="229"/>
      <c r="E19" s="227"/>
      <c r="F19" s="229"/>
    </row>
    <row r="20" spans="1:6" x14ac:dyDescent="0.35">
      <c r="A20" s="228"/>
      <c r="B20" s="229"/>
      <c r="C20" s="227"/>
      <c r="D20" s="229"/>
      <c r="E20" s="227"/>
      <c r="F20" s="229"/>
    </row>
    <row r="21" spans="1:6" x14ac:dyDescent="0.35">
      <c r="A21" s="228"/>
      <c r="B21" s="229"/>
      <c r="C21" s="227"/>
      <c r="D21" s="229"/>
      <c r="E21" s="227"/>
      <c r="F21" s="229"/>
    </row>
    <row r="22" spans="1:6" x14ac:dyDescent="0.35">
      <c r="A22" s="227"/>
      <c r="B22" s="227"/>
      <c r="C22" s="227"/>
      <c r="D22" s="227"/>
      <c r="E22" s="227"/>
      <c r="F22" s="227"/>
    </row>
    <row r="23" spans="1:6" x14ac:dyDescent="0.35">
      <c r="A23" s="227"/>
      <c r="B23" s="228"/>
      <c r="C23" s="228"/>
      <c r="D23" s="227"/>
      <c r="E23" s="227"/>
      <c r="F23" s="227"/>
    </row>
    <row r="24" spans="1:6" x14ac:dyDescent="0.35">
      <c r="A24" s="228"/>
      <c r="B24" s="230"/>
      <c r="C24" s="230"/>
      <c r="D24" s="230"/>
      <c r="E24" s="227"/>
      <c r="F24" s="227"/>
    </row>
    <row r="25" spans="1:6" x14ac:dyDescent="0.35">
      <c r="A25" s="228"/>
      <c r="B25" s="229"/>
      <c r="C25" s="230"/>
      <c r="D25" s="230"/>
      <c r="E25" s="227"/>
      <c r="F25" s="227"/>
    </row>
    <row r="26" spans="1:6" x14ac:dyDescent="0.35">
      <c r="A26" s="228"/>
      <c r="B26" s="231"/>
      <c r="C26" s="231"/>
      <c r="D26" s="227"/>
      <c r="E26" s="227"/>
      <c r="F26" s="227"/>
    </row>
    <row r="27" spans="1:6" x14ac:dyDescent="0.35">
      <c r="A27" s="170"/>
      <c r="B27" s="170"/>
      <c r="C27" s="170"/>
      <c r="D27" s="170"/>
      <c r="E27" s="170"/>
      <c r="F27" s="170"/>
    </row>
    <row r="28" spans="1:6" x14ac:dyDescent="0.35">
      <c r="A28" s="170"/>
      <c r="B28" s="170"/>
      <c r="C28" s="170"/>
      <c r="D28" s="170"/>
      <c r="E28" s="170"/>
      <c r="F28" s="170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2F20-93EE-4226-81A1-4D7370C43D38}">
  <dimension ref="A1:C8"/>
  <sheetViews>
    <sheetView workbookViewId="0">
      <selection activeCell="A21" sqref="A21"/>
    </sheetView>
  </sheetViews>
  <sheetFormatPr defaultRowHeight="14.5" x14ac:dyDescent="0.35"/>
  <cols>
    <col min="1" max="1" width="79.81640625" customWidth="1"/>
    <col min="2" max="2" width="20.54296875" customWidth="1"/>
  </cols>
  <sheetData>
    <row r="1" spans="1:3" ht="16" thickBot="1" x14ac:dyDescent="0.4">
      <c r="A1" s="271" t="s">
        <v>75</v>
      </c>
      <c r="B1" s="272"/>
    </row>
    <row r="2" spans="1:3" ht="16" thickBot="1" x14ac:dyDescent="0.4">
      <c r="A2" s="131" t="s">
        <v>76</v>
      </c>
      <c r="B2" s="132">
        <f>'Burden Summary'!B14</f>
        <v>3485189</v>
      </c>
    </row>
    <row r="3" spans="1:3" ht="16" thickBot="1" x14ac:dyDescent="0.4">
      <c r="A3" s="131" t="s">
        <v>77</v>
      </c>
      <c r="B3" s="133">
        <f>'Burden Summary'!C14</f>
        <v>3.4922832391586223</v>
      </c>
    </row>
    <row r="4" spans="1:3" ht="16" thickBot="1" x14ac:dyDescent="0.4">
      <c r="A4" s="131" t="s">
        <v>78</v>
      </c>
      <c r="B4" s="132">
        <f>'Burden Summary'!D14</f>
        <v>12171267.129999999</v>
      </c>
    </row>
    <row r="5" spans="1:3" ht="16" thickBot="1" x14ac:dyDescent="0.4">
      <c r="A5" s="131" t="s">
        <v>79</v>
      </c>
      <c r="B5" s="134">
        <f>'Burden Summary'!E14</f>
        <v>5.1463377465613143E-2</v>
      </c>
    </row>
    <row r="6" spans="1:3" ht="16" thickBot="1" x14ac:dyDescent="0.4">
      <c r="A6" s="131" t="s">
        <v>80</v>
      </c>
      <c r="B6" s="132">
        <f>'Burden Summary'!F14</f>
        <v>626374.51454599993</v>
      </c>
    </row>
    <row r="7" spans="1:3" ht="16" thickBot="1" x14ac:dyDescent="0.4">
      <c r="A7" s="131" t="s">
        <v>81</v>
      </c>
      <c r="B7" s="132">
        <v>0</v>
      </c>
      <c r="C7" s="127"/>
    </row>
    <row r="8" spans="1:3" ht="16" thickBot="1" x14ac:dyDescent="0.4">
      <c r="A8" s="131" t="s">
        <v>82</v>
      </c>
      <c r="B8" s="132">
        <f>Reporting!L23+RecordKeeping!L12</f>
        <v>-13385.216254000015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13" ma:contentTypeDescription="Create a new document." ma:contentTypeScope="" ma:versionID="fd31f96f2ae3ddf1ca055e09f849fd6e">
  <xsd:schema xmlns:xsd="http://www.w3.org/2001/XMLSchema" xmlns:xs="http://www.w3.org/2001/XMLSchema" xmlns:p="http://schemas.microsoft.com/office/2006/metadata/properties" xmlns:ns2="df38bbad-0bb0-41a7-b78f-084b382b3af7" xmlns:ns3="e9322675-4e6c-4dcb-b08b-f40420b09916" xmlns:ns4="73fb875a-8af9-4255-b008-0995492d31cd" targetNamespace="http://schemas.microsoft.com/office/2006/metadata/properties" ma:root="true" ma:fieldsID="c0f95923d0588259779faa5c5a516c70" ns2:_="" ns3:_="" ns4:_="">
    <xsd:import namespace="df38bbad-0bb0-41a7-b78f-084b382b3af7"/>
    <xsd:import namespace="e9322675-4e6c-4dcb-b08b-f40420b0991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98274-0875-49b6-a7af-eeb3c457fc2c}" ma:internalName="TaxCatchAll" ma:showField="CatchAllData" ma:web="e9322675-4e6c-4dcb-b08b-f40420b09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8bbad-0bb0-41a7-b78f-084b382b3af7">
      <Terms xmlns="http://schemas.microsoft.com/office/infopath/2007/PartnerControls"/>
    </lcf76f155ced4ddcb4097134ff3c332f>
    <TaxCatchAll xmlns="73fb875a-8af9-4255-b008-0995492d31cd" xsi:nil="true"/>
    <SharedWithUsers xmlns="e9322675-4e6c-4dcb-b08b-f40420b09916">
      <UserInfo>
        <DisplayName>Kim, Abigail - FNS</DisplayName>
        <AccountId>140</AccountId>
        <AccountType/>
      </UserInfo>
      <UserInfo>
        <DisplayName>Gaddie, Wesley - FNS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782BEE7-D5D8-4AD0-A1D6-E3A871EC5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75FD32-761E-4D0D-8659-6F42C5126E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29C49-EFD6-4D42-A813-83E1EE8B22A7}">
  <ds:schemaRefs>
    <ds:schemaRef ds:uri="http://schemas.microsoft.com/office/2006/metadata/properties"/>
    <ds:schemaRef ds:uri="http://schemas.microsoft.com/office/infopath/2007/PartnerControls"/>
    <ds:schemaRef ds:uri="df38bbad-0bb0-41a7-b78f-084b382b3af7"/>
    <ds:schemaRef ds:uri="73fb875a-8af9-4255-b008-0995492d31cd"/>
    <ds:schemaRef ds:uri="e9322675-4e6c-4dcb-b08b-f40420b09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Reporting</vt:lpstr>
      <vt:lpstr>RecordKeeping</vt:lpstr>
      <vt:lpstr>Burden Summary</vt:lpstr>
      <vt:lpstr>60 Day Notice</vt:lpstr>
      <vt:lpstr>'Burden Summary'!Print_Area</vt:lpstr>
      <vt:lpstr>RecordKeeping!Print_Area</vt:lpstr>
      <vt:lpstr>Reporting!Print_Area</vt:lpstr>
    </vt:vector>
  </TitlesOfParts>
  <Manager/>
  <Company>USDA/FNS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sweeks</dc:creator>
  <cp:keywords/>
  <dc:description/>
  <cp:lastModifiedBy>Sandberg, Christina - FNS</cp:lastModifiedBy>
  <cp:revision/>
  <dcterms:created xsi:type="dcterms:W3CDTF">2011-04-25T16:43:00Z</dcterms:created>
  <dcterms:modified xsi:type="dcterms:W3CDTF">2024-04-22T20:06:07Z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  <property fmtid="{D5CDD505-2E9C-101B-9397-08002B2CF9AE}" pid="3" name="MediaServiceImageTags">
    <vt:lpwstr/>
  </property>
</Properties>
</file>