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https://usdagcc.sharepoint.com/sites/FNS-SNAS-SFPD-PB/Shared Documents/S_FMNP/ICBs/FMNP/WIC FMNP ICB 2024/ICR Package/2. ICR Package for PRAO/"/>
    </mc:Choice>
  </mc:AlternateContent>
  <xr:revisionPtr revIDLastSave="1069" documentId="11_574EEA83AABAB0453A03594F542EE175B6FC7144" xr6:coauthVersionLast="47" xr6:coauthVersionMax="47" xr10:uidLastSave="{56AA9BD2-F8C1-4E2C-AC54-97B0EB34E203}"/>
  <bookViews>
    <workbookView xWindow="28680" yWindow="-120" windowWidth="29040" windowHeight="15840" xr2:uid="{00000000-000D-0000-FFFF-FFFF00000000}"/>
  </bookViews>
  <sheets>
    <sheet name="2024" sheetId="7" r:id="rId1"/>
    <sheet name="2021" sheetId="6" r:id="rId2"/>
    <sheet name="2018" sheetId="8" r:id="rId3"/>
    <sheet name="2014"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7" l="1"/>
  <c r="J40" i="7"/>
  <c r="D42" i="7"/>
  <c r="D71" i="7"/>
  <c r="C71" i="7"/>
  <c r="D70" i="7"/>
  <c r="C70" i="7"/>
  <c r="G66" i="7"/>
  <c r="F66" i="7"/>
  <c r="E66" i="7"/>
  <c r="D66" i="7" s="1"/>
  <c r="C66" i="7"/>
  <c r="G65" i="7"/>
  <c r="F65" i="7"/>
  <c r="E65" i="7"/>
  <c r="D65" i="7"/>
  <c r="C65" i="7"/>
  <c r="G64" i="7"/>
  <c r="F64" i="7"/>
  <c r="E64" i="7"/>
  <c r="D64" i="7"/>
  <c r="C64" i="7"/>
  <c r="L60" i="7"/>
  <c r="J60" i="7"/>
  <c r="H60" i="7"/>
  <c r="F60" i="7"/>
  <c r="E60" i="7" s="1"/>
  <c r="D60" i="7"/>
  <c r="L59" i="7"/>
  <c r="L44" i="7"/>
  <c r="L45" i="7" s="1"/>
  <c r="K59" i="7"/>
  <c r="J59" i="7"/>
  <c r="I59" i="7"/>
  <c r="H59" i="7"/>
  <c r="F59" i="7"/>
  <c r="D35" i="7"/>
  <c r="K45" i="7"/>
  <c r="I45" i="7"/>
  <c r="D45" i="7"/>
  <c r="K44" i="7"/>
  <c r="J44" i="7"/>
  <c r="I44" i="7"/>
  <c r="H44" i="7"/>
  <c r="G44" i="7" s="1"/>
  <c r="F44" i="7"/>
  <c r="E44" i="7" s="1"/>
  <c r="D44" i="7"/>
  <c r="K29" i="7"/>
  <c r="I29" i="7"/>
  <c r="F29" i="7"/>
  <c r="F45" i="7" s="1"/>
  <c r="F42" i="7"/>
  <c r="D6" i="7"/>
  <c r="D32" i="6" l="1"/>
  <c r="E54" i="7"/>
  <c r="E53" i="7"/>
  <c r="D37" i="7"/>
  <c r="E22" i="7"/>
  <c r="E9" i="7"/>
  <c r="D34" i="7" l="1"/>
  <c r="E16" i="7"/>
  <c r="D29" i="7"/>
  <c r="E21" i="7"/>
  <c r="J18" i="7"/>
  <c r="I18" i="7"/>
  <c r="I39" i="7"/>
  <c r="J39" i="7"/>
  <c r="D41" i="7"/>
  <c r="F41" i="7" s="1"/>
  <c r="H41" i="7" s="1"/>
  <c r="K41" i="7" s="1"/>
  <c r="L41" i="7" s="1"/>
  <c r="D40" i="7"/>
  <c r="F40" i="7" s="1"/>
  <c r="H40" i="7" s="1"/>
  <c r="D19" i="7"/>
  <c r="F19" i="7" s="1"/>
  <c r="H19" i="7" s="1"/>
  <c r="K19" i="7" s="1"/>
  <c r="F20" i="7"/>
  <c r="H20" i="7" s="1"/>
  <c r="K20" i="7" s="1"/>
  <c r="L20" i="7" s="1"/>
  <c r="F24" i="7"/>
  <c r="H24" i="7" s="1"/>
  <c r="K24" i="7" s="1"/>
  <c r="L24" i="7" s="1"/>
  <c r="H42" i="7" l="1"/>
  <c r="H39" i="7"/>
  <c r="K18" i="7"/>
  <c r="L19" i="7"/>
  <c r="L18" i="7" s="1"/>
  <c r="H18" i="7"/>
  <c r="K40" i="7"/>
  <c r="K42" i="7" l="1"/>
  <c r="L40" i="7"/>
  <c r="K39" i="7"/>
  <c r="C25" i="9"/>
  <c r="E23" i="9"/>
  <c r="G23" i="9" s="1"/>
  <c r="E22" i="9"/>
  <c r="G22" i="9" s="1"/>
  <c r="E21" i="9"/>
  <c r="G21" i="9" s="1"/>
  <c r="E20" i="9"/>
  <c r="E24" i="9" s="1"/>
  <c r="D24" i="9" s="1"/>
  <c r="C17" i="9"/>
  <c r="C16" i="9"/>
  <c r="E15" i="9"/>
  <c r="E16" i="9" s="1"/>
  <c r="H13" i="9"/>
  <c r="N12" i="9"/>
  <c r="J12" i="9"/>
  <c r="J11" i="9"/>
  <c r="E11" i="9"/>
  <c r="G11" i="9" s="1"/>
  <c r="N11" i="9" s="1"/>
  <c r="E10" i="9"/>
  <c r="G10" i="9" s="1"/>
  <c r="E9" i="9"/>
  <c r="G9" i="9" s="1"/>
  <c r="E8" i="9"/>
  <c r="G8" i="9" s="1"/>
  <c r="E7" i="9"/>
  <c r="G7" i="9" s="1"/>
  <c r="I6" i="9"/>
  <c r="G6" i="9"/>
  <c r="N6" i="9" s="1"/>
  <c r="D6" i="9"/>
  <c r="E5" i="9"/>
  <c r="G5" i="9" s="1"/>
  <c r="E4" i="9"/>
  <c r="E13" i="9" s="1"/>
  <c r="C37" i="8"/>
  <c r="K31" i="8"/>
  <c r="I31" i="8"/>
  <c r="H30" i="8"/>
  <c r="J30" i="8" s="1"/>
  <c r="J29" i="8"/>
  <c r="G29" i="8"/>
  <c r="J28" i="8"/>
  <c r="G28" i="8"/>
  <c r="J27" i="8"/>
  <c r="G27" i="8"/>
  <c r="H26" i="8"/>
  <c r="J26" i="8" s="1"/>
  <c r="E25" i="8"/>
  <c r="F25" i="8" s="1"/>
  <c r="K22" i="8"/>
  <c r="K32" i="8" s="1"/>
  <c r="D22" i="8"/>
  <c r="C36" i="8" s="1"/>
  <c r="C38" i="8" s="1"/>
  <c r="K21" i="8"/>
  <c r="I21" i="8"/>
  <c r="F21" i="8"/>
  <c r="D21" i="8"/>
  <c r="E21" i="8" s="1"/>
  <c r="F20" i="8"/>
  <c r="H20" i="8" s="1"/>
  <c r="K18" i="8"/>
  <c r="I18" i="8"/>
  <c r="F18" i="8"/>
  <c r="E18" i="8" s="1"/>
  <c r="D18" i="8"/>
  <c r="F17" i="8"/>
  <c r="H17" i="8" s="1"/>
  <c r="K15" i="8"/>
  <c r="I15" i="8"/>
  <c r="I22" i="8" s="1"/>
  <c r="I32" i="8" s="1"/>
  <c r="D15" i="8"/>
  <c r="F14" i="8"/>
  <c r="H14" i="8" s="1"/>
  <c r="J14" i="8" s="1"/>
  <c r="F13" i="8"/>
  <c r="H13" i="8" s="1"/>
  <c r="J13" i="8" s="1"/>
  <c r="F12" i="8"/>
  <c r="H12" i="8" s="1"/>
  <c r="J12" i="8" s="1"/>
  <c r="H11" i="8"/>
  <c r="J11" i="8" s="1"/>
  <c r="F11" i="8"/>
  <c r="F10" i="8"/>
  <c r="H10" i="8" s="1"/>
  <c r="J10" i="8" s="1"/>
  <c r="E9" i="8"/>
  <c r="F9" i="8" s="1"/>
  <c r="H9" i="8" s="1"/>
  <c r="J9" i="8" s="1"/>
  <c r="E8" i="8"/>
  <c r="F8" i="8" s="1"/>
  <c r="H8" i="8" s="1"/>
  <c r="J8" i="8" s="1"/>
  <c r="E7" i="8"/>
  <c r="F7" i="8" s="1"/>
  <c r="H7" i="8" s="1"/>
  <c r="J7" i="8" s="1"/>
  <c r="F6" i="8"/>
  <c r="H6" i="8" s="1"/>
  <c r="J6" i="8" s="1"/>
  <c r="D5" i="8"/>
  <c r="F5" i="8" s="1"/>
  <c r="L42" i="7" l="1"/>
  <c r="I8" i="9"/>
  <c r="N8" i="9"/>
  <c r="I10" i="9"/>
  <c r="N10" i="9"/>
  <c r="I9" i="9"/>
  <c r="N9" i="9"/>
  <c r="N5" i="9"/>
  <c r="I5" i="9"/>
  <c r="I21" i="9"/>
  <c r="N21" i="9"/>
  <c r="E17" i="9"/>
  <c r="E25" i="9" s="1"/>
  <c r="I22" i="9"/>
  <c r="N22" i="9"/>
  <c r="I23" i="9"/>
  <c r="N23" i="9"/>
  <c r="N7" i="9"/>
  <c r="I7" i="9"/>
  <c r="G4" i="9"/>
  <c r="G15" i="9"/>
  <c r="D5" i="9"/>
  <c r="D13" i="9" s="1"/>
  <c r="G20" i="9"/>
  <c r="J17" i="8"/>
  <c r="J18" i="8" s="1"/>
  <c r="H18" i="8"/>
  <c r="G18" i="8" s="1"/>
  <c r="F31" i="8"/>
  <c r="H25" i="8"/>
  <c r="H21" i="8"/>
  <c r="G21" i="8" s="1"/>
  <c r="J20" i="8"/>
  <c r="J21" i="8" s="1"/>
  <c r="F15" i="8"/>
  <c r="H5" i="8"/>
  <c r="D32" i="8"/>
  <c r="I20" i="9" l="1"/>
  <c r="G24" i="9"/>
  <c r="N20" i="9"/>
  <c r="N24" i="9" s="1"/>
  <c r="I15" i="9"/>
  <c r="N15" i="9"/>
  <c r="N16" i="9" s="1"/>
  <c r="G16" i="9"/>
  <c r="G13" i="9"/>
  <c r="G17" i="9" s="1"/>
  <c r="G25" i="9" s="1"/>
  <c r="N4" i="9"/>
  <c r="N13" i="9" s="1"/>
  <c r="N17" i="9" s="1"/>
  <c r="N25" i="9" s="1"/>
  <c r="I4" i="9"/>
  <c r="I13" i="9" s="1"/>
  <c r="E15" i="8"/>
  <c r="E22" i="8" s="1"/>
  <c r="F22" i="8"/>
  <c r="E31" i="8"/>
  <c r="E37" i="8"/>
  <c r="D37" i="8" s="1"/>
  <c r="J25" i="8"/>
  <c r="J31" i="8" s="1"/>
  <c r="H31" i="8"/>
  <c r="H15" i="8"/>
  <c r="J5" i="8"/>
  <c r="J15" i="8" s="1"/>
  <c r="J22" i="8" s="1"/>
  <c r="F24" i="9" l="1"/>
  <c r="I24" i="9"/>
  <c r="G37" i="8"/>
  <c r="F37" i="8" s="1"/>
  <c r="G31" i="8"/>
  <c r="G15" i="8"/>
  <c r="H22" i="8"/>
  <c r="F32" i="8"/>
  <c r="E36" i="8"/>
  <c r="J32" i="8"/>
  <c r="E32" i="8"/>
  <c r="D36" i="8" l="1"/>
  <c r="E38" i="8"/>
  <c r="G36" i="8"/>
  <c r="G22" i="8"/>
  <c r="G32" i="8" s="1"/>
  <c r="H32" i="8"/>
  <c r="F36" i="8" l="1"/>
  <c r="G38" i="8"/>
  <c r="C42" i="8"/>
  <c r="C43" i="8" s="1"/>
  <c r="D38" i="8"/>
  <c r="D42" i="8" l="1"/>
  <c r="D43" i="8" s="1"/>
  <c r="F38" i="8"/>
  <c r="E49" i="7" l="1"/>
  <c r="D38" i="7"/>
  <c r="D36" i="7"/>
  <c r="F16" i="7" l="1"/>
  <c r="H16" i="7" s="1"/>
  <c r="E15" i="7"/>
  <c r="F15" i="7" s="1"/>
  <c r="H15" i="7" s="1"/>
  <c r="F9" i="7"/>
  <c r="H9" i="7" s="1"/>
  <c r="F22" i="7"/>
  <c r="H22" i="7" s="1"/>
  <c r="E8" i="7"/>
  <c r="F8" i="7" s="1"/>
  <c r="H8" i="7" s="1"/>
  <c r="H29" i="7" s="1"/>
  <c r="H45" i="7" s="1"/>
  <c r="F35" i="7"/>
  <c r="H35" i="7" s="1"/>
  <c r="I49" i="7"/>
  <c r="I50" i="7"/>
  <c r="I51" i="7"/>
  <c r="I52" i="7"/>
  <c r="I53" i="7"/>
  <c r="I54" i="7"/>
  <c r="I55" i="7"/>
  <c r="I56" i="7"/>
  <c r="I57" i="7"/>
  <c r="I58" i="7"/>
  <c r="I48" i="7"/>
  <c r="I36" i="7"/>
  <c r="I37" i="7"/>
  <c r="I38" i="7"/>
  <c r="I35" i="7"/>
  <c r="I43" i="7"/>
  <c r="I34" i="7"/>
  <c r="I31" i="7"/>
  <c r="I32" i="7" s="1"/>
  <c r="I21" i="7"/>
  <c r="I22" i="7"/>
  <c r="I23" i="7"/>
  <c r="I25" i="7"/>
  <c r="I26" i="7"/>
  <c r="I27" i="7"/>
  <c r="I28" i="7"/>
  <c r="I15" i="7"/>
  <c r="I16" i="7"/>
  <c r="I17" i="7"/>
  <c r="I12" i="7"/>
  <c r="I13" i="7"/>
  <c r="I14" i="7"/>
  <c r="I10" i="7"/>
  <c r="I11" i="7"/>
  <c r="I9" i="7"/>
  <c r="I8" i="7"/>
  <c r="I7" i="7"/>
  <c r="I6" i="7"/>
  <c r="F58" i="7"/>
  <c r="H58" i="7" s="1"/>
  <c r="F57" i="7"/>
  <c r="H57" i="7" s="1"/>
  <c r="F56" i="7"/>
  <c r="H56" i="7" s="1"/>
  <c r="F55" i="7"/>
  <c r="H55" i="7" s="1"/>
  <c r="F54" i="7"/>
  <c r="H54" i="7" s="1"/>
  <c r="F53" i="7"/>
  <c r="H53" i="7" s="1"/>
  <c r="F52" i="7"/>
  <c r="H52" i="7" s="1"/>
  <c r="F51" i="7"/>
  <c r="H51" i="7" s="1"/>
  <c r="F50" i="7"/>
  <c r="H50" i="7" s="1"/>
  <c r="F49" i="7"/>
  <c r="H49" i="7" s="1"/>
  <c r="F48" i="7"/>
  <c r="F38" i="7"/>
  <c r="H38" i="7" s="1"/>
  <c r="F37" i="7"/>
  <c r="H37" i="7" s="1"/>
  <c r="F36" i="7"/>
  <c r="H36" i="7" s="1"/>
  <c r="J36" i="7" s="1"/>
  <c r="F43" i="7"/>
  <c r="H43" i="7" s="1"/>
  <c r="K32" i="7"/>
  <c r="D32" i="7"/>
  <c r="F31" i="7"/>
  <c r="H31" i="7" s="1"/>
  <c r="F28" i="7"/>
  <c r="H28" i="7" s="1"/>
  <c r="J28" i="7" s="1"/>
  <c r="F27" i="7"/>
  <c r="H27" i="7" s="1"/>
  <c r="F26" i="7"/>
  <c r="H26" i="7" s="1"/>
  <c r="F25" i="7"/>
  <c r="H25" i="7" s="1"/>
  <c r="F23" i="7"/>
  <c r="H23" i="7" s="1"/>
  <c r="F21" i="7"/>
  <c r="H21" i="7" s="1"/>
  <c r="F17" i="7"/>
  <c r="H17" i="7" s="1"/>
  <c r="F14" i="7"/>
  <c r="H14" i="7" s="1"/>
  <c r="J14" i="7" s="1"/>
  <c r="F13" i="7"/>
  <c r="H13" i="7" s="1"/>
  <c r="F12" i="7"/>
  <c r="H12" i="7" s="1"/>
  <c r="F11" i="7"/>
  <c r="H11" i="7" s="1"/>
  <c r="F10" i="7"/>
  <c r="H10" i="7" s="1"/>
  <c r="F7" i="7"/>
  <c r="H7" i="7" s="1"/>
  <c r="J43" i="7" l="1"/>
  <c r="L43" i="7" s="1"/>
  <c r="J49" i="7"/>
  <c r="J10" i="7"/>
  <c r="L10" i="7" s="1"/>
  <c r="J37" i="7"/>
  <c r="L37" i="7" s="1"/>
  <c r="J27" i="7"/>
  <c r="L27" i="7" s="1"/>
  <c r="J22" i="7"/>
  <c r="L22" i="7" s="1"/>
  <c r="J13" i="7"/>
  <c r="L13" i="7" s="1"/>
  <c r="J35" i="7"/>
  <c r="J56" i="7"/>
  <c r="J26" i="7"/>
  <c r="L26" i="7" s="1"/>
  <c r="J52" i="7"/>
  <c r="L52" i="7" s="1"/>
  <c r="J17" i="7"/>
  <c r="L17" i="7" s="1"/>
  <c r="J9" i="7"/>
  <c r="L9" i="7" s="1"/>
  <c r="J21" i="7"/>
  <c r="L21" i="7" s="1"/>
  <c r="J38" i="7"/>
  <c r="L38" i="7" s="1"/>
  <c r="J7" i="7"/>
  <c r="L7" i="7" s="1"/>
  <c r="J55" i="7"/>
  <c r="L55" i="7" s="1"/>
  <c r="J25" i="7"/>
  <c r="L25" i="7" s="1"/>
  <c r="J50" i="7"/>
  <c r="L50" i="7" s="1"/>
  <c r="J12" i="7"/>
  <c r="L12" i="7" s="1"/>
  <c r="J8" i="7"/>
  <c r="J57" i="7"/>
  <c r="L57" i="7" s="1"/>
  <c r="J23" i="7"/>
  <c r="L23" i="7" s="1"/>
  <c r="L14" i="7"/>
  <c r="J51" i="7"/>
  <c r="L51" i="7" s="1"/>
  <c r="J58" i="7"/>
  <c r="L58" i="7" s="1"/>
  <c r="J11" i="7"/>
  <c r="L11" i="7" s="1"/>
  <c r="J15" i="7"/>
  <c r="L15" i="7" s="1"/>
  <c r="J16" i="7"/>
  <c r="L16" i="7" s="1"/>
  <c r="J54" i="7"/>
  <c r="L54" i="7" s="1"/>
  <c r="J53" i="7"/>
  <c r="L53" i="7" s="1"/>
  <c r="F34" i="7"/>
  <c r="F32" i="7"/>
  <c r="E32" i="7" s="1"/>
  <c r="L35" i="7"/>
  <c r="F6" i="7"/>
  <c r="L56" i="7"/>
  <c r="L36" i="7"/>
  <c r="L28" i="7"/>
  <c r="L49" i="7"/>
  <c r="J31" i="7"/>
  <c r="J32" i="7" s="1"/>
  <c r="H32" i="7"/>
  <c r="H48" i="7"/>
  <c r="L8" i="7" l="1"/>
  <c r="L29" i="7" s="1"/>
  <c r="J29" i="7"/>
  <c r="J45" i="7" s="1"/>
  <c r="H6" i="7"/>
  <c r="J48" i="7"/>
  <c r="L48" i="7" s="1"/>
  <c r="H34" i="7"/>
  <c r="E59" i="7"/>
  <c r="G32" i="7"/>
  <c r="I60" i="7"/>
  <c r="L31" i="7"/>
  <c r="L32" i="7"/>
  <c r="E45" i="7" l="1"/>
  <c r="G59" i="7"/>
  <c r="K60" i="7"/>
  <c r="J34" i="7"/>
  <c r="E29" i="7"/>
  <c r="J6" i="7"/>
  <c r="G45" i="7" l="1"/>
  <c r="L34" i="7"/>
  <c r="G29" i="7"/>
  <c r="L6" i="7"/>
  <c r="G60" i="7" l="1"/>
  <c r="F52" i="6" l="1"/>
  <c r="H52" i="6" s="1"/>
  <c r="J52" i="6" s="1"/>
  <c r="F51" i="6"/>
  <c r="H51" i="6" s="1"/>
  <c r="F50" i="6"/>
  <c r="H50" i="6" s="1"/>
  <c r="F49" i="6"/>
  <c r="H49" i="6" s="1"/>
  <c r="F46" i="6"/>
  <c r="H46" i="6" s="1"/>
  <c r="F45" i="6"/>
  <c r="H45" i="6" s="1"/>
  <c r="F44" i="6"/>
  <c r="H44" i="6" s="1"/>
  <c r="F42" i="6"/>
  <c r="F33" i="6"/>
  <c r="F13" i="6"/>
  <c r="F10" i="6"/>
  <c r="E48" i="6" l="1"/>
  <c r="F48" i="6" s="1"/>
  <c r="H48" i="6" s="1"/>
  <c r="E16" i="6"/>
  <c r="D35" i="6"/>
  <c r="F22" i="6" l="1"/>
  <c r="H22" i="6" s="1"/>
  <c r="K22" i="6" s="1"/>
  <c r="L22" i="6" s="1"/>
  <c r="E43" i="6" l="1"/>
  <c r="F43" i="6" s="1"/>
  <c r="H43" i="6" s="1"/>
  <c r="I38" i="6" l="1"/>
  <c r="D31" i="6" l="1"/>
  <c r="F31" i="6" l="1"/>
  <c r="H31" i="6" s="1"/>
  <c r="J31" i="6" s="1"/>
  <c r="D38" i="6"/>
  <c r="I53" i="6"/>
  <c r="L31" i="6" l="1"/>
  <c r="K29" i="6"/>
  <c r="D29" i="6"/>
  <c r="D36" i="6"/>
  <c r="F36" i="6" s="1"/>
  <c r="H36" i="6" s="1"/>
  <c r="L36" i="6" s="1"/>
  <c r="F32" i="6"/>
  <c r="H32" i="6" l="1"/>
  <c r="E8" i="6"/>
  <c r="E19" i="6"/>
  <c r="I29" i="6"/>
  <c r="F35" i="6"/>
  <c r="H35" i="6" s="1"/>
  <c r="K35" i="6" s="1"/>
  <c r="L35" i="6" s="1"/>
  <c r="E20" i="6"/>
  <c r="F20" i="6" s="1"/>
  <c r="H20" i="6" s="1"/>
  <c r="K20" i="6" s="1"/>
  <c r="L20" i="6" s="1"/>
  <c r="F12" i="6"/>
  <c r="H12" i="6" s="1"/>
  <c r="K12" i="6" s="1"/>
  <c r="L12" i="6" s="1"/>
  <c r="F11" i="6"/>
  <c r="D6" i="6"/>
  <c r="D26" i="6" s="1"/>
  <c r="E47" i="6"/>
  <c r="F47" i="6" s="1"/>
  <c r="H47" i="6" s="1"/>
  <c r="J47" i="6" s="1"/>
  <c r="E15" i="6"/>
  <c r="E9" i="6"/>
  <c r="K32" i="6" l="1"/>
  <c r="L32" i="6" s="1"/>
  <c r="L46" i="6"/>
  <c r="H33" i="6" l="1"/>
  <c r="K33" i="6" s="1"/>
  <c r="L33" i="6" s="1"/>
  <c r="H42" i="6" l="1"/>
  <c r="L42" i="6" s="1"/>
  <c r="F28" i="6" l="1"/>
  <c r="F29" i="6" s="1"/>
  <c r="H28" i="6" l="1"/>
  <c r="H29" i="6" s="1"/>
  <c r="F37" i="6"/>
  <c r="J28" i="6" l="1"/>
  <c r="J29" i="6" s="1"/>
  <c r="H37" i="6"/>
  <c r="K44" i="6"/>
  <c r="L44" i="6" s="1"/>
  <c r="L29" i="6" l="1"/>
  <c r="L28" i="6"/>
  <c r="K37" i="6"/>
  <c r="F19" i="6"/>
  <c r="H19" i="6" s="1"/>
  <c r="K19" i="6" s="1"/>
  <c r="L19" i="6" s="1"/>
  <c r="K38" i="6" l="1"/>
  <c r="L37" i="6"/>
  <c r="F14" i="6"/>
  <c r="H14" i="6" s="1"/>
  <c r="K14" i="6" s="1"/>
  <c r="L14" i="6" s="1"/>
  <c r="H13" i="6"/>
  <c r="K13" i="6" s="1"/>
  <c r="L13" i="6" s="1"/>
  <c r="H11" i="6"/>
  <c r="K11" i="6" s="1"/>
  <c r="L11" i="6" s="1"/>
  <c r="H10" i="6"/>
  <c r="K10" i="6" s="1"/>
  <c r="L10" i="6" s="1"/>
  <c r="F24" i="6" l="1"/>
  <c r="H24" i="6" s="1"/>
  <c r="K24" i="6" s="1"/>
  <c r="L24" i="6" s="1"/>
  <c r="L47" i="6" l="1"/>
  <c r="F16" i="6" l="1"/>
  <c r="H16" i="6" s="1"/>
  <c r="K16" i="6" s="1"/>
  <c r="L16" i="6" s="1"/>
  <c r="D53" i="6" l="1"/>
  <c r="C59" i="6" l="1"/>
  <c r="L52" i="6"/>
  <c r="J45" i="6"/>
  <c r="L45" i="6" s="1"/>
  <c r="F53" i="6"/>
  <c r="F34" i="6"/>
  <c r="F38" i="6" s="1"/>
  <c r="K26" i="6"/>
  <c r="K39" i="6" s="1"/>
  <c r="I26" i="6"/>
  <c r="F25" i="6"/>
  <c r="H25" i="6" s="1"/>
  <c r="J25" i="6" s="1"/>
  <c r="L25" i="6" s="1"/>
  <c r="F23" i="6"/>
  <c r="H23" i="6" s="1"/>
  <c r="J23" i="6" s="1"/>
  <c r="L23" i="6" s="1"/>
  <c r="F21" i="6"/>
  <c r="H21" i="6" s="1"/>
  <c r="J21" i="6" s="1"/>
  <c r="L21" i="6" s="1"/>
  <c r="F18" i="6"/>
  <c r="H18" i="6" s="1"/>
  <c r="J18" i="6" s="1"/>
  <c r="L18" i="6" s="1"/>
  <c r="F17" i="6"/>
  <c r="H17" i="6" s="1"/>
  <c r="J17" i="6" s="1"/>
  <c r="L17" i="6" s="1"/>
  <c r="F15" i="6"/>
  <c r="H15" i="6" s="1"/>
  <c r="L15" i="6" s="1"/>
  <c r="F9" i="6"/>
  <c r="H9" i="6" s="1"/>
  <c r="J9" i="6" s="1"/>
  <c r="L9" i="6" s="1"/>
  <c r="F8" i="6"/>
  <c r="H8" i="6" s="1"/>
  <c r="L8" i="6" s="1"/>
  <c r="F7" i="6"/>
  <c r="H7" i="6" s="1"/>
  <c r="J7" i="6" s="1"/>
  <c r="L7" i="6" s="1"/>
  <c r="F6" i="6"/>
  <c r="H34" i="6" l="1"/>
  <c r="H38" i="6" s="1"/>
  <c r="E29" i="6"/>
  <c r="D39" i="6"/>
  <c r="I39" i="6"/>
  <c r="I54" i="6" s="1"/>
  <c r="D63" i="6" s="1"/>
  <c r="H6" i="6"/>
  <c r="F26" i="6"/>
  <c r="J34" i="6" l="1"/>
  <c r="J38" i="6" s="1"/>
  <c r="D54" i="6"/>
  <c r="C60" i="6" s="1"/>
  <c r="C58" i="6"/>
  <c r="E26" i="6"/>
  <c r="H26" i="6"/>
  <c r="G29" i="6"/>
  <c r="E59" i="6"/>
  <c r="D59" i="6" s="1"/>
  <c r="E53" i="6"/>
  <c r="J43" i="6"/>
  <c r="J26" i="6" l="1"/>
  <c r="L6" i="6"/>
  <c r="L26" i="6" s="1"/>
  <c r="L34" i="6"/>
  <c r="L38" i="6" s="1"/>
  <c r="L43" i="6"/>
  <c r="G26" i="6"/>
  <c r="H39" i="6"/>
  <c r="L39" i="6" l="1"/>
  <c r="J39" i="6"/>
  <c r="G58" i="6"/>
  <c r="E38" i="6" l="1"/>
  <c r="G38" i="6"/>
  <c r="F39" i="6"/>
  <c r="E39" i="6" s="1"/>
  <c r="E58" i="6" l="1"/>
  <c r="D58" i="6" s="1"/>
  <c r="F54" i="6"/>
  <c r="G39" i="6"/>
  <c r="F58" i="6" l="1"/>
  <c r="E60" i="6"/>
  <c r="C64" i="6" s="1"/>
  <c r="C65" i="6" s="1"/>
  <c r="E54" i="6"/>
  <c r="D60" i="6" l="1"/>
  <c r="K51" i="6"/>
  <c r="K53" i="6" s="1"/>
  <c r="K54" i="6" l="1"/>
  <c r="L51" i="6"/>
  <c r="J49" i="6"/>
  <c r="L49" i="6" s="1"/>
  <c r="H53" i="6"/>
  <c r="G59" i="6" s="1"/>
  <c r="J50" i="6"/>
  <c r="L50" i="6" s="1"/>
  <c r="J53" i="6" l="1"/>
  <c r="H54" i="6"/>
  <c r="G54" i="6" s="1"/>
  <c r="J54" i="6"/>
  <c r="L54" i="6" s="1"/>
  <c r="L53" i="6"/>
  <c r="G53" i="6"/>
  <c r="G60" i="6"/>
  <c r="F59" i="6"/>
  <c r="F60" i="6" l="1"/>
  <c r="D64" i="6"/>
</calcChain>
</file>

<file path=xl/sharedStrings.xml><?xml version="1.0" encoding="utf-8"?>
<sst xmlns="http://schemas.openxmlformats.org/spreadsheetml/2006/main" count="488" uniqueCount="195">
  <si>
    <t>ESTIMATE OF THE COLLECTION OF INFORMATION BURDEN TABLE</t>
  </si>
  <si>
    <t>Regulatory Section</t>
  </si>
  <si>
    <t>Information Collected</t>
  </si>
  <si>
    <t>Form(s)</t>
  </si>
  <si>
    <t>Estimated Number of Respondents</t>
  </si>
  <si>
    <t>Annual Responses per Respondent</t>
  </si>
  <si>
    <t>Total Annual Responses</t>
  </si>
  <si>
    <t>Hours per Response</t>
  </si>
  <si>
    <t>Total Annual Burden Hours</t>
  </si>
  <si>
    <r>
      <rPr>
        <b/>
        <i/>
        <sz val="10"/>
        <color theme="1"/>
        <rFont val="Arial"/>
        <family val="2"/>
      </rPr>
      <t xml:space="preserve">Previous Submission: </t>
    </r>
    <r>
      <rPr>
        <b/>
        <sz val="10"/>
        <color theme="1"/>
        <rFont val="Arial"/>
        <family val="2"/>
      </rPr>
      <t>Total Annual Burden Hours</t>
    </r>
  </si>
  <si>
    <t>Difference Due to Adjustments</t>
  </si>
  <si>
    <t>Difference Due to Program Changes</t>
  </si>
  <si>
    <t>Total Difference</t>
  </si>
  <si>
    <t>Reason for Difference (See also Narrative Statement)</t>
  </si>
  <si>
    <t>REPORTING BURDEN ESTIMATES</t>
  </si>
  <si>
    <t>Affected Public:  STATE &amp; LOCAL AGENCIES (Including Indian Tribal Organizations and U.S. Territories)</t>
  </si>
  <si>
    <t>248.3(e), 246.5</t>
  </si>
  <si>
    <t>Local Agency Applications</t>
  </si>
  <si>
    <t>Increase in the number of local agencies.</t>
  </si>
  <si>
    <t>State Plan</t>
  </si>
  <si>
    <t>Increase in the number of State agencies.</t>
  </si>
  <si>
    <t>248.6, 248.10(i)</t>
  </si>
  <si>
    <t>Certification Data for Participants</t>
  </si>
  <si>
    <t>248.10(a)(2),(3),(b),(c)</t>
  </si>
  <si>
    <t>Authorization - Review of Outlet Applications (Farmers, Farmers' Market, Roadside Stand)</t>
  </si>
  <si>
    <t>248.10(a)(4)(d)</t>
  </si>
  <si>
    <t>Face-to-Face Training Development</t>
  </si>
  <si>
    <t xml:space="preserve">Face-to-Face Training </t>
  </si>
  <si>
    <t>248.10(b)(5)</t>
  </si>
  <si>
    <t xml:space="preserve">Disqualification of Authorized Outlets </t>
  </si>
  <si>
    <t>N/A</t>
  </si>
  <si>
    <t>248.10(d)</t>
  </si>
  <si>
    <t>Annual Training for Authorized Outlets Development</t>
  </si>
  <si>
    <t xml:space="preserve">Annual Training for Authorized Outlets </t>
  </si>
  <si>
    <t xml:space="preserve">248.10(e)(2),(3); 248.17(c)(1)(i) </t>
  </si>
  <si>
    <t>Monitoring/Review of Authorized Outlets</t>
  </si>
  <si>
    <t>248.10(e)(4); 248.17(c)(1)(ii)</t>
  </si>
  <si>
    <t xml:space="preserve">Monitoring/Review of Local Agencies </t>
  </si>
  <si>
    <t>248.10(f)</t>
  </si>
  <si>
    <t>Coupon Management System</t>
  </si>
  <si>
    <t>248.10(h)</t>
  </si>
  <si>
    <t>Coupon Reconciliation</t>
  </si>
  <si>
    <t>Paper Coupon Reconciliation</t>
  </si>
  <si>
    <t>Electronic Benefit Reconciliation</t>
  </si>
  <si>
    <t>248.10(j)</t>
  </si>
  <si>
    <t>Recipients and Authorized Outlet Complaints</t>
  </si>
  <si>
    <t>248.10(k)</t>
  </si>
  <si>
    <t>Farmer/farmers' market sanctions</t>
  </si>
  <si>
    <t>248.11(a)</t>
  </si>
  <si>
    <t>Disclosure of Financial Expenditures</t>
  </si>
  <si>
    <t>248.12(a)(2)</t>
  </si>
  <si>
    <t>Prior approval for cost items per 2 CFR part 200, subpart E, and 2 CFR parts 400 and 415</t>
  </si>
  <si>
    <t>Not reported in previous submission.</t>
  </si>
  <si>
    <t>248.17(a)</t>
  </si>
  <si>
    <t>Establishment of ME System</t>
  </si>
  <si>
    <t>248.17(b)(2)(ii)</t>
  </si>
  <si>
    <t>State Agency Corrective Action Plan</t>
  </si>
  <si>
    <t>248.17(c)(2)</t>
  </si>
  <si>
    <t>Special Reports</t>
  </si>
  <si>
    <t>248.18(b)</t>
  </si>
  <si>
    <t>Audit Responses</t>
  </si>
  <si>
    <t>Subtotal Reporting: State and Local Agencies (Including Indian Tribal Organizations and U.S. Territories)</t>
  </si>
  <si>
    <t>Affected Public:  INDIVIDUALS/HOUSEHOLDS (Applicants for Program Benefits)</t>
  </si>
  <si>
    <t>Decrease in the number of participants.</t>
  </si>
  <si>
    <t>Subtotal Reporting: Individuals/Households</t>
  </si>
  <si>
    <t>Affected Public: Authorized Outlets (Farmers/Markets/Roadside Stands) and Businesses</t>
  </si>
  <si>
    <t>Non-profit businesses Applications</t>
  </si>
  <si>
    <t>Decrease in the number of authorized outlets.</t>
  </si>
  <si>
    <t>248.10(b)(1)(xi)</t>
  </si>
  <si>
    <t>Farmer/farmers' market complaints</t>
  </si>
  <si>
    <t>248.10(b),(c)</t>
  </si>
  <si>
    <t>Authorized Outlet Agreements</t>
  </si>
  <si>
    <t xml:space="preserve">Appeal of Denial </t>
  </si>
  <si>
    <t>248.10(e)(1)</t>
  </si>
  <si>
    <t>Coupon Reimbursement</t>
  </si>
  <si>
    <t>Paper Coupon Reimbursement &amp; Electronic Benefit Mail-In</t>
  </si>
  <si>
    <t>Electronic Benefit Reimbursement via Hybrid Processing</t>
  </si>
  <si>
    <t>Electronic Benefit Reimbursement via Electronic Processing</t>
  </si>
  <si>
    <t>Subtotal Reporting: Authorized outlets</t>
  </si>
  <si>
    <t>GRAND SUBTOTAL: REPORTING</t>
  </si>
  <si>
    <t>RECORDKEEPING BURDEN ESTIMATES</t>
  </si>
  <si>
    <t>Affected Public:  STATE &amp; LOCAL AGENCIES (Including Indian Tribal Organizations and U.S.Territories)</t>
  </si>
  <si>
    <t xml:space="preserve">248.4(c) </t>
  </si>
  <si>
    <t xml:space="preserve">State Plan Record Maintenance </t>
  </si>
  <si>
    <t>Nutrition Education</t>
  </si>
  <si>
    <t>248.10(a)(4),(d)</t>
  </si>
  <si>
    <t>Authorized Outlet Training Content</t>
  </si>
  <si>
    <t>Maintenance of Disqualification and Sanction Records</t>
  </si>
  <si>
    <t>248.10(e)(2),(3); 248.17(c)(1)(i)</t>
  </si>
  <si>
    <t>Monitoring and Review of Authorized Outlets</t>
  </si>
  <si>
    <t xml:space="preserve">248.11(c) </t>
  </si>
  <si>
    <t>Record of Financial Expenditures</t>
  </si>
  <si>
    <t>FNS-683B</t>
  </si>
  <si>
    <t>248.16(a)</t>
  </si>
  <si>
    <t>Fair Hearings</t>
  </si>
  <si>
    <t>Maintenance of Management Evaluations</t>
  </si>
  <si>
    <t>248.23(a)</t>
  </si>
  <si>
    <t>Record of Program Operations</t>
  </si>
  <si>
    <t>GRAND SUBTOTAL: RECORDKEEPING</t>
  </si>
  <si>
    <t>GRAND TOTAL:  REPORTING AND RECORDKEEPING</t>
  </si>
  <si>
    <t>Note: FNS-683B, OMB Control Number: 0584-0594 Food Programs Reporting System (FPRS), Expiration Date: 09/30/2026</t>
  </si>
  <si>
    <t xml:space="preserve"> </t>
  </si>
  <si>
    <t>Estimated # Respondents</t>
  </si>
  <si>
    <t>Responses Per Respondent</t>
  </si>
  <si>
    <t xml:space="preserve">Total Annual Responses </t>
  </si>
  <si>
    <t>Estimated Avg. # of Hours Per Response</t>
  </si>
  <si>
    <t>Estimated Total Hours (Col. DxE)</t>
  </si>
  <si>
    <t>Total Reporting Burden</t>
  </si>
  <si>
    <t>Total Recordkeeping Burden</t>
  </si>
  <si>
    <t>TOTAL BURDEN FOR #0584-0447</t>
  </si>
  <si>
    <t>Responses</t>
  </si>
  <si>
    <t>Hours</t>
  </si>
  <si>
    <t>Currently approved burden</t>
  </si>
  <si>
    <t>Burden Requested with this ICR</t>
  </si>
  <si>
    <t>Difference</t>
  </si>
  <si>
    <t>Appendix D
FMNP Burden Table</t>
  </si>
  <si>
    <t>Decrease by including estimate of nonprofit businesses in authorized outlets</t>
  </si>
  <si>
    <t>Appendix F,G</t>
  </si>
  <si>
    <t>Decrease in participation rates</t>
  </si>
  <si>
    <t>248.10(a)(2),(3),(b)(c)</t>
  </si>
  <si>
    <t xml:space="preserve">Decrease in the number of farmers, farmers' markets, roadside stands.  </t>
  </si>
  <si>
    <t>Increase due to not being reported in previous submission</t>
  </si>
  <si>
    <t xml:space="preserve">Coupon Reconciliation </t>
  </si>
  <si>
    <t xml:space="preserve">Slight increase due to use of standardized conversion of minutes to hours but greater overall decrease in participation rates </t>
  </si>
  <si>
    <t>Increase due to the fact that some of the WIC local agencies, which are actually non-profit organizations, were counted as part of the SLT respondent group.</t>
  </si>
  <si>
    <t>248.10(b)(c)</t>
  </si>
  <si>
    <t>Decrease in number of participants</t>
  </si>
  <si>
    <t xml:space="preserve">Increase due to more accurate calcuation </t>
  </si>
  <si>
    <t>Note: FNS-683B, OMB Control Number: 0584-0594 Food Programs Reporting System (FPRS), Expiration Date: 07/31/2023</t>
  </si>
  <si>
    <t>248.2, 248.3(e), 246.5</t>
  </si>
  <si>
    <t>Burden hours associated with FMNP local agency applications were previously reported under the Special Supplemental Nutrition Program for Women, Infants, and Children (WIC) burden. Under this revision, and future revisions, FMNP local agency application burden hours will be reported under the FMNP burden.</t>
  </si>
  <si>
    <t>Increase in State agencies from 47 to 49.</t>
  </si>
  <si>
    <t>248.6, 246.7(c)</t>
  </si>
  <si>
    <t xml:space="preserve">Burden hours associated with FMNP certification data was previously reported under the WIC burden.  Under this revision, and future revisions, FMNP certification data for participants will be reported in the FMNP burden. </t>
  </si>
  <si>
    <t>248.10(a)(2),(3),(b)</t>
  </si>
  <si>
    <t xml:space="preserve">Increase in the number of farmers, farmers' markets, roadside stands.  </t>
  </si>
  <si>
    <t>248.10(e)</t>
  </si>
  <si>
    <t>Decrease in the estimated hours to monitor each authorized outlet (hours per response).</t>
  </si>
  <si>
    <t xml:space="preserve">Burden hours associated with coupon reconciliation were previously reported under the WIC burden. Under this revision, and future revisions, coupon reconciliation data will be reported in the FMNP burden. </t>
  </si>
  <si>
    <t>Financial Management System</t>
  </si>
  <si>
    <t xml:space="preserve">Decrease in the estimated number of Management Evaluations (MEs) requiring corrective action plans for deficiencies. </t>
  </si>
  <si>
    <t>Decrease in the estimated number of audit responses due to a decrease in the estimated number of OIG inspections.</t>
  </si>
  <si>
    <t>Subtotal Reporting: State and Local Agencies (Including Indian Tribal Orgranizations and U.S. Territories)</t>
  </si>
  <si>
    <t>248.6, 246.7</t>
  </si>
  <si>
    <t xml:space="preserve">Burden hours associated with FMNP certification data were previously reported under the WIC burden.  Under this revision, and future revisions, FMNP certification data for participants will be reported in the FMNP burden. </t>
  </si>
  <si>
    <t>Affected Public: Authorized Outlets (Farmers/Markets/Roadside Stands)</t>
  </si>
  <si>
    <t>248.10(b)</t>
  </si>
  <si>
    <t>Authorized outlets</t>
  </si>
  <si>
    <t xml:space="preserve">Burden hours associated with FMNP authorization were previously reported under the WIC burden.  Under this revision, and future revisions, FMNP authorization will be reported in the FMNP burden. </t>
  </si>
  <si>
    <t xml:space="preserve">Increase in the estimated burden to perform nutrition education (hours per response).  Change made in the calculation of burden hours for record-keeping associated with nutrition education to reflect documentation of nutrition education per participant.  </t>
  </si>
  <si>
    <t>248.11(c)</t>
  </si>
  <si>
    <t xml:space="preserve">Burden hours associated with fair hearing record-keeping was not included under the prior FMNP burden revision.   Under this revision, and future burden revisions, burden hours associated with fair hearing record-keeping will be reported in the FMNP burden. </t>
  </si>
  <si>
    <t xml:space="preserve">Burden hours associated with a record of program operations were not included under the prior FMNP burden revision.  Under this revision, and future revisions, burden hours associated with a record of program operations will be reported in the FMNP burden. </t>
  </si>
  <si>
    <t xml:space="preserve">Regulation Section </t>
  </si>
  <si>
    <t>Requirement</t>
  </si>
  <si>
    <t>Estimated No. Respondents</t>
  </si>
  <si>
    <t>Avg. No. Responses Per Respondent</t>
  </si>
  <si>
    <t xml:space="preserve"> Total Annual Responses</t>
  </si>
  <si>
    <t>Hours Per Response</t>
  </si>
  <si>
    <t xml:space="preserve"> Annual Burden Hours</t>
  </si>
  <si>
    <t>Previously Approved Burden Hours</t>
  </si>
  <si>
    <r>
      <rPr>
        <b/>
        <sz val="10"/>
        <color indexed="10"/>
        <rFont val="Arial"/>
        <family val="2"/>
      </rPr>
      <t xml:space="preserve">Difference Due to Program </t>
    </r>
    <r>
      <rPr>
        <b/>
        <sz val="10"/>
        <color indexed="8"/>
        <rFont val="Arial"/>
        <family val="2"/>
      </rPr>
      <t xml:space="preserve">Adjustment </t>
    </r>
  </si>
  <si>
    <t>Difference Due to Program Adjustments</t>
  </si>
  <si>
    <t>Reason to Increase or decrease to Burden Hours</t>
  </si>
  <si>
    <t>Estimated Hourly Wage Rate</t>
  </si>
  <si>
    <t>Estimated Total Annual Cost to Respondent</t>
  </si>
  <si>
    <t>Affected Public:  STATE &amp; LOCAL AGENCIES (Including Indian Tribal Organizations and US Territories)</t>
  </si>
  <si>
    <t xml:space="preserve">Reporting </t>
  </si>
  <si>
    <t>Increase in State Agencies from 45 to 47</t>
  </si>
  <si>
    <t>248.10(a)(2)&amp;(3)&amp;(b)</t>
  </si>
  <si>
    <t xml:space="preserve">Authorization </t>
  </si>
  <si>
    <r>
      <t xml:space="preserve">Monitoring/Review  </t>
    </r>
    <r>
      <rPr>
        <sz val="9"/>
        <color indexed="10"/>
        <rFont val="Arial"/>
        <family val="2"/>
      </rPr>
      <t xml:space="preserve">                                                                        </t>
    </r>
  </si>
  <si>
    <t xml:space="preserve">Increase due to athorization of more farmers/ markets/ farm stands </t>
  </si>
  <si>
    <t>248.23(b)</t>
  </si>
  <si>
    <t>Annual Financial Report FNS-683</t>
  </si>
  <si>
    <t>Burden has been removed and is maintained in OMB Control Number 0584-0594.  Indicate this by moving all previously approved burden to Program adjustment the other cells should be Zero out.  This is a merge now that it is in FPRS and is coded correctly as an adjustment. Zero out this line and submit Non-substative change for the FPRS.  recalculate rows Increase in State Agencies from 45 to 47 and consolidation of FNS-683 and FNS-203--added .30 hours</t>
  </si>
  <si>
    <t>Annual Report on Recipients, Farmers, Farmer's Markets, Roadside Stands FNS 203</t>
  </si>
  <si>
    <t>this is a deliberate change and should reflect program changes not adjustments.  Move to program changes column &amp; recalculate Decrease due burden moved to OMB# 0584-0595 and the consolidation of FNS-683 and FNS 203</t>
  </si>
  <si>
    <t>Subtotal (Reporting Requirement)</t>
  </si>
  <si>
    <t>-</t>
  </si>
  <si>
    <t>Affected Public: Farms (Farmers/Markets/Roadside stands)</t>
  </si>
  <si>
    <t>248.10(a)(2)(3)&amp;(b)</t>
  </si>
  <si>
    <r>
      <t xml:space="preserve">Farmer's Market Agreement and Authorization (1/3 or .33 of 23,793 authorized entities or 7,851.69 or 7,852 per year for 3 year periods)                                                 </t>
    </r>
    <r>
      <rPr>
        <i/>
        <sz val="10"/>
        <rFont val="Arial"/>
        <family val="2"/>
      </rPr>
      <t xml:space="preserve">         </t>
    </r>
    <r>
      <rPr>
        <sz val="10"/>
        <rFont val="Arial"/>
        <family val="2"/>
      </rPr>
      <t xml:space="preserve">   </t>
    </r>
  </si>
  <si>
    <t>Total Reporting Requirment</t>
  </si>
  <si>
    <t>Recordkeeping</t>
  </si>
  <si>
    <t xml:space="preserve">Nutrition Education                                               </t>
  </si>
  <si>
    <t>Farmer/Farmers Market/Roadside Stand Agreement and Authorization</t>
  </si>
  <si>
    <t>Summary of Farmer/Farmers' Market/Roadside Stand Monitoring</t>
  </si>
  <si>
    <t>248.11(c )</t>
  </si>
  <si>
    <t>Subtotal (Recordkeeping Requirment)</t>
  </si>
  <si>
    <t>TOTAL BURDEN</t>
  </si>
  <si>
    <t>Appendices F,G</t>
  </si>
  <si>
    <t xml:space="preserve">Decrease in the number of authorized outlets. Hours per response adjusted to align with SFMNP estimate. </t>
  </si>
  <si>
    <t>Increase in the number of State agencies.
Decrease in burden hours for State agencies using eSolutions.</t>
  </si>
  <si>
    <t>Decrease in the number of authorized outlets.
Reduced burden for reimbursement of electronic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</si>
</sst>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 #,##0_);_(* \(#,##0\);_(* &quot;-&quot;??_);_(@_)"/>
    <numFmt numFmtId="165" formatCode="_(* #,##0.000_);_(* \(#,##0.000\);_(* &quot;-&quot;??_);_(@_)"/>
    <numFmt numFmtId="166" formatCode="#,##0.000_);\(#,##0.000\)"/>
    <numFmt numFmtId="167" formatCode="#,##0.0000000"/>
    <numFmt numFmtId="168" formatCode="#,##0.00000_);\(#,##0.00000\)"/>
    <numFmt numFmtId="169" formatCode="0.000000"/>
    <numFmt numFmtId="170" formatCode="_(* #,##0.000000_);_(* \(#,##0.000000\);_(* &quot;-&quot;??_);_(@_)"/>
    <numFmt numFmtId="171" formatCode="#,##0.0_);\(#,##0.0\)"/>
    <numFmt numFmtId="172" formatCode="#,##0.0000_);\(#,##0.0000\)"/>
    <numFmt numFmtId="173" formatCode="#,##0.000"/>
  </numFmts>
  <fonts count="26"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0"/>
      <name val="Arial"/>
      <family val="2"/>
    </font>
    <font>
      <sz val="10"/>
      <name val="Arial"/>
      <family val="2"/>
    </font>
    <font>
      <b/>
      <sz val="10"/>
      <color indexed="8"/>
      <name val="Arial"/>
      <family val="2"/>
    </font>
    <font>
      <sz val="10"/>
      <color indexed="8"/>
      <name val="Arial"/>
      <family val="2"/>
    </font>
    <font>
      <b/>
      <i/>
      <sz val="10"/>
      <color theme="1"/>
      <name val="Arial"/>
      <family val="2"/>
    </font>
    <font>
      <sz val="10"/>
      <color rgb="FFFF0000"/>
      <name val="Arial"/>
      <family val="2"/>
    </font>
    <font>
      <sz val="10"/>
      <color theme="1"/>
      <name val="Calibri"/>
      <family val="2"/>
      <scheme val="minor"/>
    </font>
    <font>
      <b/>
      <sz val="14"/>
      <color theme="1"/>
      <name val="Arial"/>
      <family val="2"/>
    </font>
    <font>
      <sz val="10"/>
      <color rgb="FF000000"/>
      <name val="Arial"/>
      <family val="2"/>
    </font>
    <font>
      <sz val="8"/>
      <color theme="1"/>
      <name val="Times New Roman"/>
      <family val="1"/>
    </font>
    <font>
      <b/>
      <sz val="10"/>
      <color rgb="FF000000"/>
      <name val="Arial"/>
      <charset val="1"/>
    </font>
    <font>
      <b/>
      <sz val="12"/>
      <color theme="1"/>
      <name val="Arial"/>
      <family val="2"/>
    </font>
    <font>
      <sz val="10"/>
      <name val="Arial"/>
    </font>
    <font>
      <b/>
      <sz val="10"/>
      <color indexed="10"/>
      <name val="Arial"/>
      <family val="2"/>
    </font>
    <font>
      <sz val="9"/>
      <color indexed="10"/>
      <name val="Arial"/>
      <family val="2"/>
    </font>
    <font>
      <b/>
      <sz val="12"/>
      <name val="Arial"/>
      <family val="2"/>
    </font>
    <font>
      <i/>
      <sz val="10"/>
      <name val="Arial"/>
      <family val="2"/>
    </font>
    <font>
      <b/>
      <sz val="10"/>
      <color rgb="FFFF0000"/>
      <name val="Arial"/>
      <family val="2"/>
    </font>
    <font>
      <b/>
      <i/>
      <sz val="10"/>
      <name val="Arial"/>
      <family val="2"/>
    </font>
    <font>
      <sz val="8"/>
      <name val="Times New Roman"/>
      <family val="1"/>
    </font>
  </fonts>
  <fills count="13">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bgColor indexed="64"/>
      </patternFill>
    </fill>
    <fill>
      <patternFill patternType="solid">
        <fgColor rgb="FFFFFFFF"/>
        <bgColor indexed="64"/>
      </patternFill>
    </fill>
    <fill>
      <patternFill patternType="solid">
        <fgColor rgb="FFE2EFDA"/>
        <bgColor indexed="64"/>
      </patternFill>
    </fill>
    <fill>
      <patternFill patternType="solid">
        <fgColor rgb="FFFFFF00"/>
        <bgColor indexed="64"/>
      </patternFill>
    </fill>
    <fill>
      <patternFill patternType="solid">
        <fgColor theme="3" tint="0.79998168889431442"/>
        <bgColor indexed="64"/>
      </patternFill>
    </fill>
    <fill>
      <patternFill patternType="solid">
        <fgColor indexed="65"/>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1">
    <xf numFmtId="0" fontId="0" fillId="0" borderId="0"/>
    <xf numFmtId="43" fontId="3" fillId="0" borderId="0" applyFont="0" applyFill="0" applyBorder="0" applyAlignment="0" applyProtection="0"/>
    <xf numFmtId="0" fontId="5" fillId="0" borderId="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3" fillId="0" borderId="0" applyFont="0" applyFill="0" applyBorder="0" applyAlignment="0" applyProtection="0"/>
    <xf numFmtId="0" fontId="18" fillId="0" borderId="0"/>
    <xf numFmtId="44" fontId="18" fillId="0" borderId="0" applyFont="0" applyFill="0" applyBorder="0" applyAlignment="0" applyProtection="0"/>
    <xf numFmtId="43" fontId="18" fillId="0" borderId="0" applyFont="0" applyFill="0" applyBorder="0" applyAlignment="0" applyProtection="0"/>
    <xf numFmtId="44" fontId="3" fillId="0" borderId="0" applyFont="0" applyFill="0" applyBorder="0" applyAlignment="0" applyProtection="0"/>
  </cellStyleXfs>
  <cellXfs count="486">
    <xf numFmtId="0" fontId="0" fillId="0" borderId="0" xfId="0"/>
    <xf numFmtId="0" fontId="4" fillId="0" borderId="0" xfId="0" applyFont="1"/>
    <xf numFmtId="0" fontId="6" fillId="0" borderId="0" xfId="2" applyFont="1" applyAlignment="1">
      <alignment horizontal="left" vertical="center"/>
    </xf>
    <xf numFmtId="3" fontId="6" fillId="0" borderId="0" xfId="2" applyNumberFormat="1" applyFont="1" applyAlignment="1">
      <alignment vertical="center"/>
    </xf>
    <xf numFmtId="168" fontId="5" fillId="0" borderId="0" xfId="2" applyNumberFormat="1" applyAlignment="1">
      <alignment vertical="center"/>
    </xf>
    <xf numFmtId="165" fontId="6" fillId="0" borderId="0" xfId="2" applyNumberFormat="1" applyFont="1" applyAlignment="1">
      <alignment vertical="center"/>
    </xf>
    <xf numFmtId="167" fontId="5" fillId="0" borderId="0" xfId="2" applyNumberFormat="1" applyAlignment="1">
      <alignment vertical="center"/>
    </xf>
    <xf numFmtId="43" fontId="6" fillId="0" borderId="0" xfId="5" applyFont="1" applyBorder="1"/>
    <xf numFmtId="169" fontId="6" fillId="0" borderId="0" xfId="2" applyNumberFormat="1" applyFont="1"/>
    <xf numFmtId="0" fontId="6" fillId="0" borderId="20" xfId="2" applyFont="1" applyBorder="1"/>
    <xf numFmtId="0" fontId="0" fillId="0" borderId="0" xfId="0" applyAlignment="1">
      <alignment vertical="center"/>
    </xf>
    <xf numFmtId="0" fontId="1" fillId="0" borderId="2" xfId="0" applyFont="1" applyBorder="1" applyAlignment="1">
      <alignment horizontal="center" vertical="center" wrapText="1"/>
    </xf>
    <xf numFmtId="0" fontId="6" fillId="0" borderId="2" xfId="2" applyFont="1" applyBorder="1" applyAlignment="1">
      <alignment horizontal="center" vertical="center" wrapText="1"/>
    </xf>
    <xf numFmtId="0" fontId="1" fillId="4" borderId="2" xfId="0" applyFont="1" applyFill="1" applyBorder="1"/>
    <xf numFmtId="0" fontId="1" fillId="6" borderId="2" xfId="0" applyFont="1" applyFill="1" applyBorder="1" applyAlignment="1">
      <alignment horizontal="center" vertical="center" wrapText="1"/>
    </xf>
    <xf numFmtId="43" fontId="2" fillId="0" borderId="2" xfId="1" applyFont="1" applyBorder="1" applyAlignment="1">
      <alignment horizontal="right"/>
    </xf>
    <xf numFmtId="0" fontId="2" fillId="5" borderId="2" xfId="0" applyFont="1" applyFill="1" applyBorder="1"/>
    <xf numFmtId="0" fontId="2" fillId="0" borderId="0" xfId="0" applyFont="1" applyAlignment="1">
      <alignment horizontal="left"/>
    </xf>
    <xf numFmtId="0" fontId="2" fillId="0" borderId="0" xfId="0" applyFont="1"/>
    <xf numFmtId="3" fontId="2" fillId="0" borderId="0" xfId="0" applyNumberFormat="1" applyFont="1"/>
    <xf numFmtId="164" fontId="1" fillId="4" borderId="2" xfId="1" applyNumberFormat="1" applyFont="1" applyFill="1" applyBorder="1"/>
    <xf numFmtId="165" fontId="1" fillId="4" borderId="2" xfId="0" applyNumberFormat="1" applyFont="1" applyFill="1" applyBorder="1" applyAlignment="1">
      <alignment horizontal="right"/>
    </xf>
    <xf numFmtId="164" fontId="2" fillId="0" borderId="0" xfId="0" applyNumberFormat="1" applyFont="1"/>
    <xf numFmtId="170" fontId="2" fillId="0" borderId="0" xfId="0" applyNumberFormat="1" applyFont="1"/>
    <xf numFmtId="43" fontId="6" fillId="0" borderId="0" xfId="5" applyFont="1" applyFill="1" applyBorder="1"/>
    <xf numFmtId="164" fontId="6" fillId="0" borderId="0" xfId="5" applyNumberFormat="1" applyFont="1" applyFill="1" applyBorder="1"/>
    <xf numFmtId="0" fontId="2" fillId="0" borderId="0" xfId="0" applyFont="1" applyAlignment="1">
      <alignment wrapText="1"/>
    </xf>
    <xf numFmtId="43" fontId="2" fillId="0" borderId="2" xfId="1" applyFont="1" applyFill="1" applyBorder="1"/>
    <xf numFmtId="0" fontId="12" fillId="0" borderId="0" xfId="0" applyFont="1"/>
    <xf numFmtId="166" fontId="2" fillId="0" borderId="0" xfId="0" applyNumberFormat="1" applyFont="1"/>
    <xf numFmtId="43" fontId="2" fillId="0" borderId="0" xfId="0" applyNumberFormat="1" applyFont="1"/>
    <xf numFmtId="164" fontId="11" fillId="0" borderId="2" xfId="0" applyNumberFormat="1" applyFont="1" applyBorder="1"/>
    <xf numFmtId="0" fontId="1" fillId="0" borderId="2" xfId="0" applyFont="1" applyBorder="1"/>
    <xf numFmtId="0" fontId="2" fillId="0" borderId="2" xfId="0" applyFont="1" applyBorder="1"/>
    <xf numFmtId="0" fontId="9" fillId="0" borderId="7"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9" xfId="2" applyFont="1" applyBorder="1" applyAlignment="1">
      <alignment horizontal="center" vertical="center" wrapText="1"/>
    </xf>
    <xf numFmtId="0" fontId="8" fillId="0" borderId="11" xfId="2" applyFont="1" applyBorder="1" applyAlignment="1">
      <alignment vertical="center"/>
    </xf>
    <xf numFmtId="0" fontId="8" fillId="0" borderId="14" xfId="2" applyFont="1" applyBorder="1" applyAlignment="1">
      <alignment horizontal="left" vertical="center"/>
    </xf>
    <xf numFmtId="0" fontId="6" fillId="0" borderId="7" xfId="2" applyFont="1" applyBorder="1" applyAlignment="1">
      <alignment horizontal="left" vertical="center"/>
    </xf>
    <xf numFmtId="0" fontId="2" fillId="0" borderId="8" xfId="0" applyFont="1" applyBorder="1"/>
    <xf numFmtId="0" fontId="9" fillId="0" borderId="18" xfId="2" applyFont="1" applyBorder="1" applyAlignment="1">
      <alignment horizontal="center" vertical="center" wrapText="1"/>
    </xf>
    <xf numFmtId="0" fontId="6" fillId="0" borderId="22" xfId="2" applyFont="1" applyBorder="1"/>
    <xf numFmtId="0" fontId="6" fillId="0" borderId="19" xfId="2" applyFont="1" applyBorder="1"/>
    <xf numFmtId="0" fontId="2" fillId="7" borderId="2" xfId="0" applyFont="1" applyFill="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horizontal="right" vertical="center"/>
    </xf>
    <xf numFmtId="164" fontId="2" fillId="6" borderId="2" xfId="1" applyNumberFormat="1" applyFont="1" applyFill="1" applyBorder="1" applyAlignment="1">
      <alignment horizontal="righ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7" borderId="2" xfId="0" applyFont="1" applyFill="1" applyBorder="1" applyAlignment="1">
      <alignment horizontal="center" vertical="center"/>
    </xf>
    <xf numFmtId="43" fontId="2" fillId="7" borderId="2" xfId="1" applyFont="1" applyFill="1" applyBorder="1" applyAlignment="1">
      <alignment horizontal="right"/>
    </xf>
    <xf numFmtId="0" fontId="1" fillId="0" borderId="2" xfId="0" applyFont="1" applyBorder="1" applyAlignment="1">
      <alignment horizontal="left" vertical="center" wrapText="1"/>
    </xf>
    <xf numFmtId="0" fontId="2" fillId="7" borderId="2" xfId="0" applyFont="1" applyFill="1" applyBorder="1" applyAlignment="1">
      <alignment horizontal="left" vertical="center"/>
    </xf>
    <xf numFmtId="0" fontId="2" fillId="0" borderId="2" xfId="0" applyFont="1" applyBorder="1" applyAlignment="1">
      <alignment horizontal="left" vertical="center" wrapText="1"/>
    </xf>
    <xf numFmtId="0" fontId="1" fillId="7" borderId="2" xfId="0" applyFont="1" applyFill="1" applyBorder="1" applyAlignment="1">
      <alignment horizontal="left" vertical="center" wrapText="1"/>
    </xf>
    <xf numFmtId="0" fontId="2" fillId="0" borderId="2" xfId="0" applyFont="1" applyBorder="1" applyAlignment="1">
      <alignment horizontal="left" vertical="center"/>
    </xf>
    <xf numFmtId="0" fontId="2" fillId="7" borderId="2" xfId="0" applyFont="1" applyFill="1" applyBorder="1" applyAlignment="1">
      <alignment vertical="center" wrapText="1"/>
    </xf>
    <xf numFmtId="43" fontId="2" fillId="7" borderId="2" xfId="1" applyFont="1" applyFill="1" applyBorder="1" applyAlignment="1">
      <alignment horizontal="right" vertical="center"/>
    </xf>
    <xf numFmtId="164" fontId="5" fillId="7" borderId="2" xfId="1" applyNumberFormat="1" applyFont="1" applyFill="1" applyBorder="1" applyAlignment="1">
      <alignment vertical="center"/>
    </xf>
    <xf numFmtId="0" fontId="2" fillId="7" borderId="2" xfId="0" applyFont="1" applyFill="1" applyBorder="1" applyAlignment="1">
      <alignment vertical="center"/>
    </xf>
    <xf numFmtId="2" fontId="2" fillId="7" borderId="2" xfId="1" applyNumberFormat="1" applyFont="1" applyFill="1" applyBorder="1" applyAlignment="1">
      <alignment horizontal="right" vertical="center"/>
    </xf>
    <xf numFmtId="2" fontId="2" fillId="0" borderId="2" xfId="1" applyNumberFormat="1" applyFont="1" applyBorder="1" applyAlignment="1">
      <alignment horizontal="right" vertical="center"/>
    </xf>
    <xf numFmtId="0" fontId="1" fillId="4" borderId="2" xfId="0" applyFont="1" applyFill="1" applyBorder="1" applyAlignment="1">
      <alignment vertical="center"/>
    </xf>
    <xf numFmtId="39" fontId="5" fillId="6" borderId="2" xfId="1" applyNumberFormat="1" applyFont="1" applyFill="1" applyBorder="1" applyAlignment="1">
      <alignment horizontal="right" vertical="center"/>
    </xf>
    <xf numFmtId="0" fontId="1" fillId="5" borderId="2" xfId="0" applyFont="1" applyFill="1" applyBorder="1"/>
    <xf numFmtId="2" fontId="2" fillId="0" borderId="2" xfId="1" applyNumberFormat="1" applyFont="1" applyFill="1" applyBorder="1" applyAlignment="1">
      <alignment horizontal="right" vertical="center"/>
    </xf>
    <xf numFmtId="2" fontId="1" fillId="5" borderId="2" xfId="1" applyNumberFormat="1" applyFont="1" applyFill="1" applyBorder="1" applyAlignment="1">
      <alignment horizontal="right"/>
    </xf>
    <xf numFmtId="2" fontId="1" fillId="0" borderId="2" xfId="1" applyNumberFormat="1" applyFont="1" applyFill="1" applyBorder="1" applyAlignment="1">
      <alignment horizontal="right"/>
    </xf>
    <xf numFmtId="2" fontId="2" fillId="6" borderId="2" xfId="1" applyNumberFormat="1" applyFont="1" applyFill="1" applyBorder="1" applyAlignment="1">
      <alignment horizontal="right" vertical="center"/>
    </xf>
    <xf numFmtId="2" fontId="5" fillId="0" borderId="2" xfId="1" applyNumberFormat="1" applyFont="1" applyBorder="1" applyAlignment="1">
      <alignment horizontal="right" vertical="center"/>
    </xf>
    <xf numFmtId="2" fontId="2" fillId="0" borderId="2" xfId="0" applyNumberFormat="1" applyFont="1" applyBorder="1" applyAlignment="1">
      <alignment horizontal="right" vertical="center"/>
    </xf>
    <xf numFmtId="2" fontId="2" fillId="7" borderId="2" xfId="1" applyNumberFormat="1" applyFont="1" applyFill="1" applyBorder="1" applyAlignment="1">
      <alignment vertical="center"/>
    </xf>
    <xf numFmtId="2" fontId="2" fillId="0" borderId="2" xfId="1" applyNumberFormat="1" applyFont="1" applyBorder="1" applyAlignment="1">
      <alignment vertical="center"/>
    </xf>
    <xf numFmtId="0" fontId="14" fillId="0" borderId="0" xfId="0" applyFont="1" applyAlignment="1">
      <alignment vertical="center"/>
    </xf>
    <xf numFmtId="0" fontId="15" fillId="0" borderId="0" xfId="0" applyFont="1" applyAlignment="1">
      <alignment vertical="center"/>
    </xf>
    <xf numFmtId="0" fontId="2" fillId="7" borderId="5" xfId="0" applyFont="1" applyFill="1" applyBorder="1" applyAlignment="1">
      <alignment vertical="center"/>
    </xf>
    <xf numFmtId="0" fontId="1" fillId="7" borderId="6" xfId="0" applyFont="1" applyFill="1" applyBorder="1" applyAlignment="1">
      <alignment horizontal="left" vertical="center"/>
    </xf>
    <xf numFmtId="0" fontId="2" fillId="7" borderId="6" xfId="0" applyFont="1" applyFill="1" applyBorder="1" applyAlignment="1">
      <alignment horizontal="left" vertical="center" wrapText="1"/>
    </xf>
    <xf numFmtId="0" fontId="2" fillId="7" borderId="6" xfId="0" applyFont="1" applyFill="1" applyBorder="1" applyAlignment="1">
      <alignment vertical="center" wrapText="1"/>
    </xf>
    <xf numFmtId="164" fontId="2" fillId="7" borderId="6" xfId="1" applyNumberFormat="1" applyFont="1" applyFill="1" applyBorder="1" applyAlignment="1">
      <alignment horizontal="right" vertical="center"/>
    </xf>
    <xf numFmtId="43" fontId="2" fillId="7" borderId="6" xfId="1" applyFont="1" applyFill="1" applyBorder="1" applyAlignment="1">
      <alignment horizontal="right" vertical="center"/>
    </xf>
    <xf numFmtId="164" fontId="2" fillId="6" borderId="6" xfId="1" applyNumberFormat="1" applyFont="1" applyFill="1" applyBorder="1" applyAlignment="1">
      <alignment horizontal="right" vertical="center"/>
    </xf>
    <xf numFmtId="39" fontId="5" fillId="6" borderId="6" xfId="1" applyNumberFormat="1" applyFont="1" applyFill="1" applyBorder="1" applyAlignment="1">
      <alignment horizontal="right" vertical="center"/>
    </xf>
    <xf numFmtId="0" fontId="2" fillId="7" borderId="25" xfId="0" applyFont="1" applyFill="1" applyBorder="1" applyAlignment="1">
      <alignment vertical="center"/>
    </xf>
    <xf numFmtId="0" fontId="2" fillId="7" borderId="26" xfId="0" applyFont="1" applyFill="1" applyBorder="1" applyAlignment="1">
      <alignment vertical="top" wrapText="1"/>
    </xf>
    <xf numFmtId="43" fontId="2" fillId="0" borderId="5" xfId="1" applyFont="1" applyBorder="1"/>
    <xf numFmtId="0" fontId="2" fillId="7" borderId="23" xfId="0" applyFont="1" applyFill="1" applyBorder="1" applyAlignment="1">
      <alignment vertical="top" wrapText="1"/>
    </xf>
    <xf numFmtId="2" fontId="1" fillId="8" borderId="2" xfId="0" applyNumberFormat="1" applyFont="1" applyFill="1" applyBorder="1" applyAlignment="1">
      <alignment horizontal="center" vertical="center"/>
    </xf>
    <xf numFmtId="2" fontId="2" fillId="8" borderId="2" xfId="0" applyNumberFormat="1" applyFont="1" applyFill="1" applyBorder="1" applyAlignment="1">
      <alignment horizontal="right" vertical="center"/>
    </xf>
    <xf numFmtId="43" fontId="1" fillId="8" borderId="23" xfId="1" applyFont="1" applyFill="1" applyBorder="1" applyAlignment="1">
      <alignment horizontal="center" vertical="center"/>
    </xf>
    <xf numFmtId="43" fontId="2" fillId="8" borderId="23" xfId="1" applyFont="1" applyFill="1" applyBorder="1" applyAlignment="1">
      <alignment horizontal="center" vertical="center"/>
    </xf>
    <xf numFmtId="0" fontId="2" fillId="0" borderId="2" xfId="0" applyFont="1" applyBorder="1" applyAlignment="1">
      <alignment vertical="center" wrapText="1"/>
    </xf>
    <xf numFmtId="164" fontId="2" fillId="0" borderId="2" xfId="1" applyNumberFormat="1" applyFont="1" applyFill="1" applyBorder="1" applyAlignment="1">
      <alignment horizontal="right" vertical="center"/>
    </xf>
    <xf numFmtId="43" fontId="2" fillId="0" borderId="2" xfId="1" applyFont="1" applyFill="1" applyBorder="1" applyAlignment="1">
      <alignment horizontal="right" vertical="center"/>
    </xf>
    <xf numFmtId="164" fontId="5" fillId="0" borderId="2" xfId="1" applyNumberFormat="1" applyFont="1" applyFill="1" applyBorder="1" applyAlignment="1">
      <alignment vertical="center"/>
    </xf>
    <xf numFmtId="43" fontId="2" fillId="0" borderId="5" xfId="0" applyNumberFormat="1" applyFont="1" applyBorder="1" applyAlignment="1">
      <alignment vertical="center"/>
    </xf>
    <xf numFmtId="164" fontId="11" fillId="0" borderId="3" xfId="1" applyNumberFormat="1" applyFont="1" applyBorder="1"/>
    <xf numFmtId="0" fontId="2" fillId="7" borderId="3" xfId="0" applyFont="1" applyFill="1" applyBorder="1" applyAlignment="1">
      <alignment vertical="center" wrapText="1"/>
    </xf>
    <xf numFmtId="164" fontId="5" fillId="7" borderId="6" xfId="1" applyNumberFormat="1" applyFont="1" applyFill="1" applyBorder="1" applyAlignment="1">
      <alignment horizontal="right" vertical="center"/>
    </xf>
    <xf numFmtId="2" fontId="1" fillId="4" borderId="2" xfId="1" applyNumberFormat="1" applyFont="1" applyFill="1" applyBorder="1" applyAlignment="1"/>
    <xf numFmtId="2" fontId="1" fillId="4" borderId="2" xfId="1" applyNumberFormat="1" applyFont="1" applyFill="1" applyBorder="1" applyAlignment="1">
      <alignment vertical="center"/>
    </xf>
    <xf numFmtId="43" fontId="1" fillId="4" borderId="2" xfId="1" applyFont="1" applyFill="1" applyBorder="1" applyAlignment="1"/>
    <xf numFmtId="2" fontId="2" fillId="6" borderId="2" xfId="0" applyNumberFormat="1" applyFont="1" applyFill="1" applyBorder="1" applyAlignment="1">
      <alignment horizontal="right" vertical="center"/>
    </xf>
    <xf numFmtId="43" fontId="2" fillId="6" borderId="23" xfId="1" applyFont="1" applyFill="1" applyBorder="1" applyAlignment="1">
      <alignment horizontal="center" vertical="center"/>
    </xf>
    <xf numFmtId="0" fontId="2" fillId="7" borderId="2" xfId="0" applyFont="1" applyFill="1" applyBorder="1" applyAlignment="1">
      <alignment horizontal="left" vertical="center" wrapText="1"/>
    </xf>
    <xf numFmtId="0" fontId="1" fillId="7" borderId="23" xfId="0" applyFont="1" applyFill="1" applyBorder="1" applyAlignment="1">
      <alignment horizontal="left" vertical="center" wrapText="1"/>
    </xf>
    <xf numFmtId="0" fontId="2" fillId="7" borderId="23" xfId="0" applyFont="1" applyFill="1" applyBorder="1" applyAlignment="1">
      <alignment horizontal="left" vertical="center" wrapText="1"/>
    </xf>
    <xf numFmtId="43" fontId="1" fillId="7" borderId="23" xfId="1" applyFont="1" applyFill="1" applyBorder="1" applyAlignment="1">
      <alignment horizontal="left" vertical="center"/>
    </xf>
    <xf numFmtId="43" fontId="2" fillId="7" borderId="23" xfId="1" applyFont="1" applyFill="1" applyBorder="1" applyAlignment="1">
      <alignment horizontal="left" vertical="center"/>
    </xf>
    <xf numFmtId="0" fontId="1" fillId="7" borderId="29" xfId="0" applyFont="1" applyFill="1" applyBorder="1" applyAlignment="1">
      <alignment horizontal="left" vertical="center"/>
    </xf>
    <xf numFmtId="0" fontId="2" fillId="7" borderId="29" xfId="0" applyFont="1" applyFill="1" applyBorder="1" applyAlignment="1">
      <alignment horizontal="left" vertical="center" wrapText="1"/>
    </xf>
    <xf numFmtId="0" fontId="1" fillId="7" borderId="2" xfId="0" applyFont="1" applyFill="1" applyBorder="1" applyAlignment="1">
      <alignment horizontal="left" vertical="center"/>
    </xf>
    <xf numFmtId="2" fontId="2" fillId="7" borderId="2" xfId="0" applyNumberFormat="1" applyFont="1" applyFill="1" applyBorder="1" applyAlignment="1">
      <alignment horizontal="left" vertical="center"/>
    </xf>
    <xf numFmtId="2" fontId="9" fillId="7" borderId="11" xfId="2" applyNumberFormat="1" applyFont="1" applyFill="1" applyBorder="1" applyAlignment="1">
      <alignment horizontal="right" vertical="center"/>
    </xf>
    <xf numFmtId="2" fontId="9" fillId="0" borderId="17" xfId="2" applyNumberFormat="1" applyFont="1" applyBorder="1" applyAlignment="1">
      <alignment horizontal="right" vertical="center"/>
    </xf>
    <xf numFmtId="2" fontId="9" fillId="7" borderId="17" xfId="2" applyNumberFormat="1" applyFont="1" applyFill="1" applyBorder="1" applyAlignment="1">
      <alignment horizontal="right" vertical="center"/>
    </xf>
    <xf numFmtId="2" fontId="5" fillId="7" borderId="7" xfId="2" applyNumberFormat="1" applyFill="1" applyBorder="1" applyAlignment="1">
      <alignment horizontal="right" vertical="center"/>
    </xf>
    <xf numFmtId="2" fontId="5" fillId="7" borderId="10" xfId="2" applyNumberFormat="1" applyFill="1" applyBorder="1" applyAlignment="1">
      <alignment horizontal="right" vertical="center"/>
    </xf>
    <xf numFmtId="43" fontId="2" fillId="8" borderId="30" xfId="1" applyFont="1" applyFill="1" applyBorder="1" applyAlignment="1">
      <alignment horizontal="center" vertical="center"/>
    </xf>
    <xf numFmtId="164" fontId="5" fillId="7" borderId="31" xfId="0" applyNumberFormat="1" applyFont="1" applyFill="1" applyBorder="1"/>
    <xf numFmtId="164" fontId="5" fillId="7" borderId="30" xfId="0" applyNumberFormat="1" applyFont="1" applyFill="1" applyBorder="1" applyAlignment="1">
      <alignment vertical="center"/>
    </xf>
    <xf numFmtId="164" fontId="5" fillId="0" borderId="30" xfId="0" applyNumberFormat="1" applyFont="1" applyBorder="1" applyAlignment="1">
      <alignment vertical="center"/>
    </xf>
    <xf numFmtId="0" fontId="2" fillId="7" borderId="32" xfId="0" applyFont="1" applyFill="1" applyBorder="1" applyAlignment="1">
      <alignment vertical="top" wrapText="1"/>
    </xf>
    <xf numFmtId="0" fontId="2" fillId="7" borderId="3" xfId="0" applyFont="1" applyFill="1" applyBorder="1" applyAlignment="1">
      <alignment vertical="top" wrapText="1"/>
    </xf>
    <xf numFmtId="0" fontId="1" fillId="4" borderId="3" xfId="0" applyFont="1" applyFill="1" applyBorder="1"/>
    <xf numFmtId="0" fontId="2" fillId="4" borderId="3" xfId="0" applyFont="1" applyFill="1" applyBorder="1"/>
    <xf numFmtId="164" fontId="5" fillId="7" borderId="2" xfId="0" applyNumberFormat="1" applyFont="1" applyFill="1" applyBorder="1" applyAlignment="1">
      <alignment vertical="center"/>
    </xf>
    <xf numFmtId="2" fontId="2" fillId="8" borderId="5" xfId="0" applyNumberFormat="1" applyFont="1" applyFill="1" applyBorder="1" applyAlignment="1">
      <alignment horizontal="right" vertical="center"/>
    </xf>
    <xf numFmtId="43" fontId="2" fillId="7" borderId="5" xfId="1" applyFont="1" applyFill="1" applyBorder="1"/>
    <xf numFmtId="0" fontId="2" fillId="0" borderId="3" xfId="0" applyFont="1" applyBorder="1" applyAlignment="1">
      <alignment vertical="top" wrapText="1"/>
    </xf>
    <xf numFmtId="0" fontId="2" fillId="0" borderId="28" xfId="0" applyFont="1" applyBorder="1" applyAlignment="1">
      <alignment vertical="top" wrapText="1"/>
    </xf>
    <xf numFmtId="0" fontId="2" fillId="0" borderId="26" xfId="0" applyFont="1" applyBorder="1" applyAlignment="1">
      <alignment vertical="top" wrapText="1"/>
    </xf>
    <xf numFmtId="43" fontId="1" fillId="0" borderId="2" xfId="1" applyFont="1" applyFill="1" applyBorder="1" applyAlignment="1">
      <alignment horizontal="right"/>
    </xf>
    <xf numFmtId="43" fontId="1" fillId="8" borderId="2" xfId="1" applyFont="1" applyFill="1" applyBorder="1" applyAlignment="1">
      <alignment horizontal="right"/>
    </xf>
    <xf numFmtId="43" fontId="1" fillId="5" borderId="2" xfId="1" applyFont="1" applyFill="1" applyBorder="1" applyAlignment="1">
      <alignment horizontal="right"/>
    </xf>
    <xf numFmtId="43" fontId="1" fillId="4" borderId="2" xfId="1" applyFont="1" applyFill="1" applyBorder="1" applyAlignment="1">
      <alignment vertical="center"/>
    </xf>
    <xf numFmtId="43" fontId="2" fillId="6" borderId="2" xfId="1" applyFont="1" applyFill="1" applyBorder="1" applyAlignment="1">
      <alignment horizontal="right" vertical="center"/>
    </xf>
    <xf numFmtId="4" fontId="1" fillId="5" borderId="2" xfId="1" applyNumberFormat="1" applyFont="1" applyFill="1" applyBorder="1" applyAlignment="1">
      <alignment horizontal="right"/>
    </xf>
    <xf numFmtId="4" fontId="1" fillId="0" borderId="2" xfId="1" applyNumberFormat="1" applyFont="1" applyFill="1" applyBorder="1" applyAlignment="1">
      <alignment horizontal="right"/>
    </xf>
    <xf numFmtId="4" fontId="1" fillId="5" borderId="2" xfId="1" applyNumberFormat="1" applyFont="1" applyFill="1" applyBorder="1" applyAlignment="1">
      <alignment horizontal="right" vertical="center"/>
    </xf>
    <xf numFmtId="43" fontId="8" fillId="0" borderId="12" xfId="1" applyFont="1" applyFill="1" applyBorder="1" applyAlignment="1">
      <alignment horizontal="right" vertical="center"/>
    </xf>
    <xf numFmtId="43" fontId="8" fillId="0" borderId="13" xfId="1" applyFont="1" applyFill="1" applyBorder="1" applyAlignment="1">
      <alignment horizontal="right" vertical="center"/>
    </xf>
    <xf numFmtId="43" fontId="6" fillId="0" borderId="9" xfId="1" applyFont="1" applyFill="1" applyBorder="1" applyAlignment="1">
      <alignment horizontal="right" vertical="center"/>
    </xf>
    <xf numFmtId="43" fontId="9" fillId="0" borderId="11" xfId="1" applyFont="1" applyFill="1" applyBorder="1" applyAlignment="1">
      <alignment horizontal="right" vertical="center"/>
    </xf>
    <xf numFmtId="43" fontId="5" fillId="0" borderId="17" xfId="1" applyFont="1" applyFill="1" applyBorder="1" applyAlignment="1">
      <alignment horizontal="right" vertical="center"/>
    </xf>
    <xf numFmtId="43" fontId="6" fillId="0" borderId="7" xfId="1" applyFont="1" applyFill="1" applyBorder="1" applyAlignment="1">
      <alignment horizontal="right" vertical="center"/>
    </xf>
    <xf numFmtId="43" fontId="6" fillId="0" borderId="6" xfId="1" applyFont="1" applyFill="1" applyBorder="1" applyAlignment="1"/>
    <xf numFmtId="43" fontId="6" fillId="0" borderId="15" xfId="1" applyFont="1" applyFill="1" applyBorder="1" applyAlignment="1"/>
    <xf numFmtId="43" fontId="6" fillId="0" borderId="2" xfId="1" applyFont="1" applyFill="1" applyBorder="1" applyAlignment="1"/>
    <xf numFmtId="43" fontId="6" fillId="0" borderId="16" xfId="1" applyFont="1" applyFill="1" applyBorder="1" applyAlignment="1"/>
    <xf numFmtId="4" fontId="6" fillId="0" borderId="17" xfId="5" applyNumberFormat="1" applyFont="1" applyFill="1" applyBorder="1" applyAlignment="1"/>
    <xf numFmtId="43" fontId="2" fillId="7" borderId="2" xfId="1" applyFont="1" applyFill="1" applyBorder="1" applyAlignment="1">
      <alignment vertical="center"/>
    </xf>
    <xf numFmtId="4" fontId="2" fillId="7" borderId="2" xfId="1" applyNumberFormat="1" applyFont="1" applyFill="1" applyBorder="1" applyAlignment="1">
      <alignment vertical="center"/>
    </xf>
    <xf numFmtId="4" fontId="1" fillId="4" borderId="2" xfId="1" applyNumberFormat="1" applyFont="1" applyFill="1" applyBorder="1" applyAlignment="1">
      <alignment vertical="center"/>
    </xf>
    <xf numFmtId="4" fontId="1" fillId="4" borderId="2" xfId="1" applyNumberFormat="1" applyFont="1" applyFill="1" applyBorder="1" applyAlignment="1"/>
    <xf numFmtId="43" fontId="1" fillId="4" borderId="25" xfId="1" applyFont="1" applyFill="1" applyBorder="1" applyAlignment="1"/>
    <xf numFmtId="43" fontId="1" fillId="4" borderId="5" xfId="1" applyFont="1" applyFill="1" applyBorder="1" applyAlignment="1"/>
    <xf numFmtId="4" fontId="2" fillId="0" borderId="23" xfId="0" applyNumberFormat="1" applyFont="1" applyBorder="1" applyAlignment="1">
      <alignment vertical="center"/>
    </xf>
    <xf numFmtId="43" fontId="5" fillId="0" borderId="5" xfId="1" applyFont="1" applyBorder="1" applyAlignment="1">
      <alignment vertical="center"/>
    </xf>
    <xf numFmtId="43" fontId="2" fillId="0" borderId="2" xfId="1" applyFont="1" applyBorder="1" applyAlignment="1">
      <alignment horizontal="right" vertical="center"/>
    </xf>
    <xf numFmtId="43" fontId="2" fillId="9" borderId="2" xfId="1" applyFont="1" applyFill="1" applyBorder="1" applyAlignment="1">
      <alignment horizontal="right" vertical="center"/>
    </xf>
    <xf numFmtId="4" fontId="2" fillId="0" borderId="2" xfId="0" applyNumberFormat="1" applyFont="1" applyBorder="1" applyAlignment="1">
      <alignment horizontal="right" vertical="center"/>
    </xf>
    <xf numFmtId="4" fontId="2" fillId="0" borderId="0" xfId="0" applyNumberFormat="1" applyFont="1" applyAlignment="1">
      <alignment horizontal="right" vertical="center"/>
    </xf>
    <xf numFmtId="4" fontId="2" fillId="0" borderId="2" xfId="1" applyNumberFormat="1" applyFont="1" applyBorder="1" applyAlignment="1">
      <alignment horizontal="right" vertical="center"/>
    </xf>
    <xf numFmtId="4" fontId="5" fillId="0" borderId="3" xfId="1" applyNumberFormat="1" applyFont="1" applyBorder="1" applyAlignment="1">
      <alignment vertical="center"/>
    </xf>
    <xf numFmtId="4" fontId="6" fillId="0" borderId="3" xfId="1" applyNumberFormat="1" applyFont="1" applyBorder="1" applyAlignment="1"/>
    <xf numFmtId="4" fontId="5" fillId="7" borderId="2" xfId="0" applyNumberFormat="1" applyFont="1" applyFill="1" applyBorder="1" applyAlignment="1">
      <alignment vertical="center"/>
    </xf>
    <xf numFmtId="4" fontId="2" fillId="8" borderId="2" xfId="0" applyNumberFormat="1" applyFont="1" applyFill="1" applyBorder="1" applyAlignment="1">
      <alignment horizontal="right" vertical="center"/>
    </xf>
    <xf numFmtId="0" fontId="4" fillId="10" borderId="0" xfId="0" applyFont="1" applyFill="1"/>
    <xf numFmtId="2" fontId="6" fillId="4" borderId="2" xfId="0" applyNumberFormat="1" applyFont="1" applyFill="1" applyBorder="1"/>
    <xf numFmtId="2" fontId="2" fillId="7" borderId="5" xfId="0" applyNumberFormat="1" applyFont="1" applyFill="1" applyBorder="1" applyAlignment="1">
      <alignment vertical="center"/>
    </xf>
    <xf numFmtId="43" fontId="1" fillId="7" borderId="2" xfId="1" applyFont="1" applyFill="1" applyBorder="1" applyAlignment="1">
      <alignment horizontal="right" vertical="center"/>
    </xf>
    <xf numFmtId="43" fontId="6" fillId="7" borderId="7" xfId="1" applyFont="1" applyFill="1" applyBorder="1" applyAlignment="1">
      <alignment horizontal="right" vertical="center"/>
    </xf>
    <xf numFmtId="43" fontId="6" fillId="7" borderId="21" xfId="1" applyFont="1" applyFill="1" applyBorder="1" applyAlignment="1"/>
    <xf numFmtId="43" fontId="1" fillId="7" borderId="2" xfId="1" applyFont="1" applyFill="1" applyBorder="1" applyAlignment="1">
      <alignment horizontal="right"/>
    </xf>
    <xf numFmtId="0" fontId="4" fillId="7" borderId="0" xfId="0" applyFont="1" applyFill="1"/>
    <xf numFmtId="4" fontId="1" fillId="4" borderId="2" xfId="1" applyNumberFormat="1" applyFont="1" applyFill="1" applyBorder="1" applyAlignment="1">
      <alignment horizontal="right"/>
    </xf>
    <xf numFmtId="43" fontId="9" fillId="7" borderId="17" xfId="1" applyFont="1" applyFill="1" applyBorder="1" applyAlignment="1"/>
    <xf numFmtId="0" fontId="2" fillId="0" borderId="3" xfId="0" applyFont="1" applyBorder="1" applyAlignment="1">
      <alignment horizontal="left" vertical="center"/>
    </xf>
    <xf numFmtId="0" fontId="14" fillId="0" borderId="2" xfId="0" applyFont="1" applyBorder="1" applyAlignment="1">
      <alignment vertical="center"/>
    </xf>
    <xf numFmtId="2" fontId="5" fillId="7" borderId="2" xfId="1" applyNumberFormat="1" applyFont="1" applyFill="1" applyBorder="1" applyAlignment="1">
      <alignment vertical="center"/>
    </xf>
    <xf numFmtId="2" fontId="2" fillId="8" borderId="23" xfId="1" applyNumberFormat="1" applyFont="1" applyFill="1" applyBorder="1" applyAlignment="1">
      <alignment vertical="center"/>
    </xf>
    <xf numFmtId="2" fontId="5" fillId="7" borderId="6" xfId="1" applyNumberFormat="1" applyFont="1" applyFill="1" applyBorder="1" applyAlignment="1">
      <alignment vertical="center"/>
    </xf>
    <xf numFmtId="2" fontId="5" fillId="0" borderId="2" xfId="1" applyNumberFormat="1" applyFont="1" applyFill="1" applyBorder="1" applyAlignment="1">
      <alignment vertical="center"/>
    </xf>
    <xf numFmtId="43" fontId="5" fillId="7" borderId="2" xfId="0" applyNumberFormat="1" applyFont="1" applyFill="1" applyBorder="1" applyAlignment="1">
      <alignment vertical="center"/>
    </xf>
    <xf numFmtId="43" fontId="5" fillId="7" borderId="30" xfId="0" applyNumberFormat="1" applyFont="1" applyFill="1" applyBorder="1" applyAlignment="1">
      <alignment vertical="center"/>
    </xf>
    <xf numFmtId="0" fontId="16" fillId="7" borderId="23" xfId="0" applyFont="1" applyFill="1" applyBorder="1"/>
    <xf numFmtId="4" fontId="2" fillId="0" borderId="0" xfId="0" applyNumberFormat="1" applyFont="1"/>
    <xf numFmtId="37" fontId="2" fillId="0" borderId="2" xfId="1" applyNumberFormat="1" applyFont="1" applyFill="1" applyBorder="1" applyAlignment="1">
      <alignment horizontal="right" vertical="center"/>
    </xf>
    <xf numFmtId="43" fontId="2" fillId="0" borderId="23" xfId="1" applyFont="1" applyFill="1" applyBorder="1" applyAlignment="1">
      <alignment horizontal="center" vertical="center"/>
    </xf>
    <xf numFmtId="43" fontId="2" fillId="0" borderId="23" xfId="1" applyFont="1" applyFill="1" applyBorder="1" applyAlignment="1">
      <alignment horizontal="right" vertical="center"/>
    </xf>
    <xf numFmtId="171" fontId="2" fillId="0" borderId="2" xfId="1" applyNumberFormat="1" applyFont="1" applyFill="1" applyBorder="1" applyAlignment="1">
      <alignment horizontal="right" vertical="center"/>
    </xf>
    <xf numFmtId="4" fontId="5" fillId="0" borderId="2" xfId="1" applyNumberFormat="1" applyFont="1" applyBorder="1" applyAlignment="1">
      <alignment horizontal="right" vertical="center"/>
    </xf>
    <xf numFmtId="0" fontId="1" fillId="0" borderId="17" xfId="0" applyFont="1" applyBorder="1" applyAlignment="1">
      <alignment horizontal="center" vertical="center" wrapText="1"/>
    </xf>
    <xf numFmtId="0" fontId="6" fillId="0" borderId="17" xfId="2" applyFont="1" applyBorder="1" applyAlignment="1">
      <alignment horizontal="center" vertical="center" wrapText="1"/>
    </xf>
    <xf numFmtId="0" fontId="1" fillId="6" borderId="17" xfId="0" applyFont="1" applyFill="1" applyBorder="1" applyAlignment="1">
      <alignment horizontal="center" vertical="center" wrapText="1"/>
    </xf>
    <xf numFmtId="4" fontId="6" fillId="0" borderId="21" xfId="5" applyNumberFormat="1" applyFont="1" applyFill="1" applyBorder="1" applyAlignment="1"/>
    <xf numFmtId="4" fontId="2" fillId="0" borderId="2" xfId="1" applyNumberFormat="1" applyFont="1" applyBorder="1" applyAlignment="1">
      <alignment vertical="center"/>
    </xf>
    <xf numFmtId="4" fontId="2" fillId="6" borderId="2" xfId="1" applyNumberFormat="1" applyFont="1" applyFill="1" applyBorder="1" applyAlignment="1">
      <alignment vertical="center"/>
    </xf>
    <xf numFmtId="4" fontId="5" fillId="0" borderId="2" xfId="1" applyNumberFormat="1" applyFont="1" applyBorder="1" applyAlignment="1">
      <alignment vertical="center"/>
    </xf>
    <xf numFmtId="4" fontId="2" fillId="0" borderId="0" xfId="0" applyNumberFormat="1" applyFont="1" applyAlignment="1">
      <alignment vertical="center"/>
    </xf>
    <xf numFmtId="4" fontId="2" fillId="0" borderId="2" xfId="1" applyNumberFormat="1" applyFont="1" applyFill="1" applyBorder="1" applyAlignment="1">
      <alignment vertical="center"/>
    </xf>
    <xf numFmtId="4" fontId="2" fillId="0" borderId="2" xfId="0" applyNumberFormat="1" applyFont="1" applyBorder="1" applyAlignment="1">
      <alignment vertical="center"/>
    </xf>
    <xf numFmtId="43" fontId="1" fillId="4" borderId="2" xfId="1" applyFont="1" applyFill="1" applyBorder="1" applyAlignment="1">
      <alignment horizontal="right"/>
    </xf>
    <xf numFmtId="0" fontId="1" fillId="0" borderId="2" xfId="0" applyFont="1" applyBorder="1" applyAlignment="1">
      <alignment horizontal="left" vertical="center"/>
    </xf>
    <xf numFmtId="4" fontId="2" fillId="6" borderId="2" xfId="1" applyNumberFormat="1" applyFont="1" applyFill="1" applyBorder="1" applyAlignment="1">
      <alignment horizontal="right" vertical="center"/>
    </xf>
    <xf numFmtId="164" fontId="11" fillId="0" borderId="2" xfId="1" applyNumberFormat="1" applyFont="1" applyBorder="1"/>
    <xf numFmtId="4" fontId="1" fillId="4" borderId="2" xfId="1" applyNumberFormat="1" applyFont="1" applyFill="1" applyBorder="1" applyAlignment="1">
      <alignment horizontal="center"/>
    </xf>
    <xf numFmtId="4" fontId="1" fillId="4" borderId="2" xfId="1" applyNumberFormat="1" applyFont="1" applyFill="1" applyBorder="1"/>
    <xf numFmtId="164" fontId="2" fillId="7" borderId="2" xfId="1" applyNumberFormat="1" applyFont="1" applyFill="1" applyBorder="1" applyAlignment="1">
      <alignment horizontal="right" vertical="center"/>
    </xf>
    <xf numFmtId="172" fontId="5" fillId="7" borderId="2" xfId="1" applyNumberFormat="1" applyFont="1" applyFill="1" applyBorder="1" applyAlignment="1">
      <alignment horizontal="right" vertical="center"/>
    </xf>
    <xf numFmtId="164" fontId="5" fillId="7" borderId="0" xfId="0" applyNumberFormat="1" applyFont="1" applyFill="1"/>
    <xf numFmtId="4" fontId="1" fillId="4" borderId="2" xfId="1" applyNumberFormat="1" applyFont="1" applyFill="1" applyBorder="1" applyAlignment="1">
      <alignment horizontal="right" vertical="center"/>
    </xf>
    <xf numFmtId="0" fontId="2" fillId="4" borderId="2" xfId="0" applyFont="1" applyFill="1" applyBorder="1"/>
    <xf numFmtId="4" fontId="2" fillId="7" borderId="2" xfId="1" applyNumberFormat="1" applyFont="1" applyFill="1" applyBorder="1" applyAlignment="1">
      <alignment horizontal="right" vertical="center"/>
    </xf>
    <xf numFmtId="43" fontId="2" fillId="7" borderId="2" xfId="1" applyFont="1" applyFill="1" applyBorder="1"/>
    <xf numFmtId="43" fontId="2" fillId="0" borderId="2" xfId="1" applyFont="1" applyBorder="1"/>
    <xf numFmtId="164" fontId="1" fillId="5" borderId="2" xfId="1" applyNumberFormat="1" applyFont="1" applyFill="1" applyBorder="1" applyAlignment="1">
      <alignment horizontal="right"/>
    </xf>
    <xf numFmtId="37" fontId="1" fillId="0" borderId="2" xfId="1" applyNumberFormat="1" applyFont="1" applyFill="1" applyBorder="1" applyAlignment="1">
      <alignment horizontal="right"/>
    </xf>
    <xf numFmtId="4" fontId="9" fillId="0" borderId="11" xfId="2" applyNumberFormat="1" applyFont="1" applyBorder="1" applyAlignment="1">
      <alignment vertical="center"/>
    </xf>
    <xf numFmtId="166" fontId="9" fillId="7" borderId="11" xfId="2" applyNumberFormat="1" applyFont="1" applyFill="1" applyBorder="1" applyAlignment="1">
      <alignment horizontal="center" vertical="center"/>
    </xf>
    <xf numFmtId="39" fontId="9" fillId="0" borderId="11" xfId="5" applyNumberFormat="1" applyFont="1" applyFill="1" applyBorder="1" applyAlignment="1">
      <alignment vertical="center"/>
    </xf>
    <xf numFmtId="4" fontId="8" fillId="0" borderId="12" xfId="5" applyNumberFormat="1" applyFont="1" applyFill="1" applyBorder="1" applyAlignment="1">
      <alignment vertical="center"/>
    </xf>
    <xf numFmtId="4" fontId="9" fillId="0" borderId="17" xfId="2" applyNumberFormat="1" applyFont="1" applyBorder="1" applyAlignment="1">
      <alignment vertical="center"/>
    </xf>
    <xf numFmtId="173" fontId="9" fillId="7" borderId="17" xfId="2" applyNumberFormat="1" applyFont="1" applyFill="1" applyBorder="1" applyAlignment="1">
      <alignment horizontal="center" vertical="center"/>
    </xf>
    <xf numFmtId="39" fontId="5" fillId="0" borderId="17" xfId="2" applyNumberFormat="1" applyBorder="1" applyAlignment="1">
      <alignment vertical="center"/>
    </xf>
    <xf numFmtId="4" fontId="8" fillId="0" borderId="13" xfId="2" applyNumberFormat="1" applyFont="1" applyBorder="1" applyAlignment="1">
      <alignment vertical="center"/>
    </xf>
    <xf numFmtId="4" fontId="6" fillId="0" borderId="7" xfId="2" applyNumberFormat="1" applyFont="1" applyBorder="1" applyAlignment="1">
      <alignment vertical="center"/>
    </xf>
    <xf numFmtId="166" fontId="5" fillId="7" borderId="7" xfId="2" applyNumberFormat="1" applyFill="1" applyBorder="1" applyAlignment="1">
      <alignment horizontal="center" vertical="center"/>
    </xf>
    <xf numFmtId="39" fontId="6" fillId="0" borderId="7" xfId="2" applyNumberFormat="1" applyFont="1" applyBorder="1" applyAlignment="1">
      <alignment vertical="center"/>
    </xf>
    <xf numFmtId="173" fontId="5" fillId="7" borderId="10" xfId="2" applyNumberFormat="1" applyFill="1" applyBorder="1" applyAlignment="1">
      <alignment horizontal="center" vertical="center"/>
    </xf>
    <xf numFmtId="39" fontId="6" fillId="0" borderId="9" xfId="2" applyNumberFormat="1" applyFont="1" applyBorder="1" applyAlignment="1">
      <alignment vertical="center"/>
    </xf>
    <xf numFmtId="39" fontId="6" fillId="0" borderId="6" xfId="5" applyNumberFormat="1" applyFont="1" applyFill="1" applyBorder="1" applyAlignment="1"/>
    <xf numFmtId="39" fontId="6" fillId="0" borderId="15" xfId="1" applyNumberFormat="1" applyFont="1" applyFill="1" applyBorder="1" applyAlignment="1"/>
    <xf numFmtId="39" fontId="6" fillId="0" borderId="2" xfId="5" applyNumberFormat="1" applyFont="1" applyFill="1" applyBorder="1" applyAlignment="1"/>
    <xf numFmtId="39" fontId="6" fillId="0" borderId="16" xfId="1" applyNumberFormat="1" applyFont="1" applyFill="1" applyBorder="1" applyAlignment="1"/>
    <xf numFmtId="39" fontId="6" fillId="0" borderId="17" xfId="5" applyNumberFormat="1" applyFont="1" applyFill="1" applyBorder="1" applyAlignment="1"/>
    <xf numFmtId="39" fontId="6" fillId="0" borderId="21" xfId="5" applyNumberFormat="1" applyFont="1" applyFill="1" applyBorder="1" applyAlignment="1"/>
    <xf numFmtId="0" fontId="6" fillId="0" borderId="2" xfId="7" applyFont="1" applyBorder="1" applyAlignment="1">
      <alignment horizontal="center" vertical="top" wrapText="1"/>
    </xf>
    <xf numFmtId="0" fontId="1" fillId="0" borderId="2" xfId="7" applyFont="1" applyBorder="1" applyAlignment="1">
      <alignment horizontal="center" vertical="top" wrapText="1"/>
    </xf>
    <xf numFmtId="0" fontId="1" fillId="5" borderId="2" xfId="7" applyFont="1" applyFill="1" applyBorder="1" applyAlignment="1">
      <alignment horizontal="center" vertical="top" wrapText="1"/>
    </xf>
    <xf numFmtId="0" fontId="6" fillId="0" borderId="2" xfId="7" applyFont="1" applyBorder="1" applyAlignment="1">
      <alignment vertical="top" wrapText="1"/>
    </xf>
    <xf numFmtId="0" fontId="18" fillId="0" borderId="0" xfId="7"/>
    <xf numFmtId="0" fontId="5" fillId="0" borderId="6" xfId="7" applyFont="1" applyBorder="1" applyAlignment="1">
      <alignment horizontal="left"/>
    </xf>
    <xf numFmtId="0" fontId="5" fillId="0" borderId="6" xfId="7" applyFont="1" applyBorder="1" applyAlignment="1">
      <alignment wrapText="1"/>
    </xf>
    <xf numFmtId="1" fontId="5" fillId="0" borderId="6" xfId="7" applyNumberFormat="1" applyFont="1" applyBorder="1" applyAlignment="1">
      <alignment horizontal="right" wrapText="1"/>
    </xf>
    <xf numFmtId="4" fontId="5" fillId="0" borderId="6" xfId="7" applyNumberFormat="1" applyFont="1" applyBorder="1" applyAlignment="1">
      <alignment horizontal="right" wrapText="1"/>
    </xf>
    <xf numFmtId="4" fontId="5" fillId="0" borderId="6" xfId="7" applyNumberFormat="1" applyFont="1" applyBorder="1"/>
    <xf numFmtId="0" fontId="6" fillId="0" borderId="6" xfId="7" applyFont="1" applyBorder="1" applyAlignment="1">
      <alignment wrapText="1"/>
    </xf>
    <xf numFmtId="44" fontId="0" fillId="0" borderId="2" xfId="8" applyFont="1" applyBorder="1"/>
    <xf numFmtId="44" fontId="18" fillId="0" borderId="2" xfId="7" applyNumberFormat="1" applyBorder="1"/>
    <xf numFmtId="0" fontId="5" fillId="0" borderId="2" xfId="7" applyFont="1" applyBorder="1" applyAlignment="1">
      <alignment horizontal="left" wrapText="1"/>
    </xf>
    <xf numFmtId="0" fontId="5" fillId="0" borderId="2" xfId="7" applyFont="1" applyBorder="1" applyAlignment="1">
      <alignment wrapText="1"/>
    </xf>
    <xf numFmtId="1" fontId="5" fillId="0" borderId="2" xfId="7" applyNumberFormat="1" applyFont="1" applyBorder="1" applyAlignment="1">
      <alignment horizontal="right" wrapText="1"/>
    </xf>
    <xf numFmtId="4" fontId="5" fillId="0" borderId="29" xfId="7" applyNumberFormat="1" applyFont="1" applyBorder="1" applyAlignment="1">
      <alignment horizontal="right" wrapText="1"/>
    </xf>
    <xf numFmtId="4" fontId="5" fillId="0" borderId="2" xfId="7" applyNumberFormat="1" applyFont="1" applyBorder="1" applyAlignment="1">
      <alignment horizontal="right" wrapText="1"/>
    </xf>
    <xf numFmtId="4" fontId="5" fillId="0" borderId="2" xfId="7" applyNumberFormat="1" applyFont="1" applyBorder="1"/>
    <xf numFmtId="0" fontId="5" fillId="0" borderId="2" xfId="7" applyFont="1" applyBorder="1" applyAlignment="1">
      <alignment horizontal="left"/>
    </xf>
    <xf numFmtId="0" fontId="5" fillId="0" borderId="29" xfId="7" applyFont="1" applyBorder="1" applyAlignment="1">
      <alignment wrapText="1"/>
    </xf>
    <xf numFmtId="0" fontId="6" fillId="0" borderId="2" xfId="7" applyFont="1" applyBorder="1" applyAlignment="1">
      <alignment wrapText="1"/>
    </xf>
    <xf numFmtId="1" fontId="5" fillId="0" borderId="29" xfId="7" applyNumberFormat="1" applyFont="1" applyBorder="1" applyAlignment="1">
      <alignment horizontal="right" wrapText="1"/>
    </xf>
    <xf numFmtId="44" fontId="5" fillId="0" borderId="2" xfId="8" applyFont="1" applyBorder="1"/>
    <xf numFmtId="44" fontId="5" fillId="0" borderId="2" xfId="7" applyNumberFormat="1" applyFont="1" applyBorder="1"/>
    <xf numFmtId="0" fontId="5" fillId="0" borderId="33" xfId="7" applyFont="1" applyBorder="1" applyAlignment="1">
      <alignment horizontal="left"/>
    </xf>
    <xf numFmtId="0" fontId="5" fillId="0" borderId="33" xfId="7" applyFont="1" applyBorder="1" applyAlignment="1">
      <alignment wrapText="1"/>
    </xf>
    <xf numFmtId="1" fontId="5" fillId="0" borderId="33" xfId="7" applyNumberFormat="1" applyFont="1" applyBorder="1"/>
    <xf numFmtId="2" fontId="5" fillId="0" borderId="33" xfId="7" applyNumberFormat="1" applyFont="1" applyBorder="1"/>
    <xf numFmtId="4" fontId="5" fillId="0" borderId="33" xfId="7" applyNumberFormat="1" applyFont="1" applyBorder="1" applyAlignment="1">
      <alignment horizontal="right" wrapText="1"/>
    </xf>
    <xf numFmtId="4" fontId="5" fillId="0" borderId="33" xfId="7" applyNumberFormat="1" applyFont="1" applyBorder="1"/>
    <xf numFmtId="0" fontId="6" fillId="0" borderId="33" xfId="7" applyFont="1" applyBorder="1" applyAlignment="1">
      <alignment wrapText="1"/>
    </xf>
    <xf numFmtId="0" fontId="6" fillId="0" borderId="36" xfId="7" applyFont="1" applyBorder="1"/>
    <xf numFmtId="4" fontId="6" fillId="0" borderId="37" xfId="7" applyNumberFormat="1" applyFont="1" applyBorder="1"/>
    <xf numFmtId="0" fontId="21" fillId="0" borderId="38" xfId="7" applyFont="1" applyBorder="1" applyAlignment="1">
      <alignment wrapText="1"/>
    </xf>
    <xf numFmtId="0" fontId="5" fillId="0" borderId="29" xfId="7" applyFont="1" applyBorder="1" applyAlignment="1">
      <alignment horizontal="center" vertical="center"/>
    </xf>
    <xf numFmtId="44" fontId="6" fillId="0" borderId="29" xfId="7" applyNumberFormat="1" applyFont="1" applyBorder="1"/>
    <xf numFmtId="0" fontId="5" fillId="0" borderId="25" xfId="7" applyFont="1" applyBorder="1" applyAlignment="1">
      <alignment wrapText="1"/>
    </xf>
    <xf numFmtId="44" fontId="5" fillId="0" borderId="6" xfId="8" applyFont="1" applyBorder="1"/>
    <xf numFmtId="44" fontId="5" fillId="0" borderId="6" xfId="7" applyNumberFormat="1" applyFont="1" applyBorder="1"/>
    <xf numFmtId="0" fontId="11" fillId="0" borderId="0" xfId="7" applyFont="1"/>
    <xf numFmtId="0" fontId="6" fillId="0" borderId="33" xfId="7" applyFont="1" applyBorder="1"/>
    <xf numFmtId="0" fontId="6" fillId="0" borderId="33" xfId="7" applyFont="1" applyBorder="1" applyAlignment="1">
      <alignment horizontal="right" wrapText="1"/>
    </xf>
    <xf numFmtId="4" fontId="6" fillId="0" borderId="33" xfId="7" applyNumberFormat="1" applyFont="1" applyBorder="1" applyAlignment="1">
      <alignment horizontal="right" wrapText="1"/>
    </xf>
    <xf numFmtId="0" fontId="5" fillId="0" borderId="33" xfId="7" applyFont="1" applyBorder="1" applyAlignment="1">
      <alignment horizontal="right" wrapText="1"/>
    </xf>
    <xf numFmtId="4" fontId="6" fillId="0" borderId="33" xfId="7" applyNumberFormat="1" applyFont="1" applyBorder="1" applyAlignment="1">
      <alignment horizontal="right"/>
    </xf>
    <xf numFmtId="4" fontId="6" fillId="0" borderId="33" xfId="7" applyNumberFormat="1" applyFont="1" applyBorder="1"/>
    <xf numFmtId="0" fontId="5" fillId="0" borderId="42" xfId="7" applyFont="1" applyBorder="1" applyAlignment="1">
      <alignment wrapText="1"/>
    </xf>
    <xf numFmtId="0" fontId="5" fillId="0" borderId="2" xfId="7" applyFont="1" applyBorder="1" applyAlignment="1">
      <alignment horizontal="center" vertical="center"/>
    </xf>
    <xf numFmtId="44" fontId="6" fillId="0" borderId="2" xfId="7" applyNumberFormat="1" applyFont="1" applyBorder="1"/>
    <xf numFmtId="0" fontId="6" fillId="0" borderId="38" xfId="7" applyFont="1" applyBorder="1"/>
    <xf numFmtId="0" fontId="6" fillId="0" borderId="0" xfId="7" applyFont="1" applyAlignment="1">
      <alignment horizontal="right" wrapText="1"/>
    </xf>
    <xf numFmtId="4" fontId="6" fillId="0" borderId="43" xfId="7" applyNumberFormat="1" applyFont="1" applyBorder="1" applyAlignment="1">
      <alignment horizontal="right" wrapText="1"/>
    </xf>
    <xf numFmtId="0" fontId="5" fillId="0" borderId="43" xfId="7" applyFont="1" applyBorder="1" applyAlignment="1">
      <alignment horizontal="right" wrapText="1"/>
    </xf>
    <xf numFmtId="4" fontId="6" fillId="0" borderId="43" xfId="7" applyNumberFormat="1" applyFont="1" applyBorder="1" applyAlignment="1">
      <alignment horizontal="right"/>
    </xf>
    <xf numFmtId="4" fontId="6" fillId="0" borderId="43" xfId="7" applyNumberFormat="1" applyFont="1" applyBorder="1"/>
    <xf numFmtId="0" fontId="5" fillId="0" borderId="34" xfId="7" applyFont="1" applyBorder="1" applyAlignment="1">
      <alignment wrapText="1"/>
    </xf>
    <xf numFmtId="1" fontId="5" fillId="0" borderId="2" xfId="7" applyNumberFormat="1" applyFont="1" applyBorder="1"/>
    <xf numFmtId="2" fontId="5" fillId="0" borderId="4" xfId="7" applyNumberFormat="1" applyFont="1" applyBorder="1"/>
    <xf numFmtId="4" fontId="5" fillId="0" borderId="4" xfId="7" applyNumberFormat="1" applyFont="1" applyBorder="1"/>
    <xf numFmtId="4" fontId="5" fillId="0" borderId="29" xfId="7" applyNumberFormat="1" applyFont="1" applyBorder="1"/>
    <xf numFmtId="44" fontId="0" fillId="0" borderId="42" xfId="8" applyFont="1" applyBorder="1"/>
    <xf numFmtId="44" fontId="18" fillId="0" borderId="33" xfId="7" applyNumberFormat="1" applyBorder="1"/>
    <xf numFmtId="1" fontId="6" fillId="0" borderId="47" xfId="7" applyNumberFormat="1" applyFont="1" applyBorder="1"/>
    <xf numFmtId="4" fontId="6" fillId="0" borderId="47" xfId="7" applyNumberFormat="1" applyFont="1" applyBorder="1"/>
    <xf numFmtId="0" fontId="5" fillId="0" borderId="47" xfId="7" applyFont="1" applyBorder="1" applyAlignment="1">
      <alignment horizontal="center" vertical="center"/>
    </xf>
    <xf numFmtId="44" fontId="6" fillId="0" borderId="47" xfId="7" applyNumberFormat="1" applyFont="1" applyBorder="1"/>
    <xf numFmtId="164" fontId="6" fillId="0" borderId="6" xfId="9" applyNumberFormat="1" applyFont="1" applyBorder="1"/>
    <xf numFmtId="4" fontId="23" fillId="12" borderId="6" xfId="7" applyNumberFormat="1" applyFont="1" applyFill="1" applyBorder="1"/>
    <xf numFmtId="4" fontId="6" fillId="0" borderId="6" xfId="7" applyNumberFormat="1" applyFont="1" applyBorder="1"/>
    <xf numFmtId="4" fontId="21" fillId="0" borderId="6" xfId="7" applyNumberFormat="1" applyFont="1" applyBorder="1"/>
    <xf numFmtId="0" fontId="21" fillId="0" borderId="6" xfId="7" applyFont="1" applyBorder="1"/>
    <xf numFmtId="0" fontId="21" fillId="0" borderId="6" xfId="7" applyFont="1" applyBorder="1" applyAlignment="1">
      <alignment wrapText="1"/>
    </xf>
    <xf numFmtId="0" fontId="18" fillId="0" borderId="6" xfId="7" applyBorder="1"/>
    <xf numFmtId="44" fontId="6" fillId="0" borderId="6" xfId="7" applyNumberFormat="1" applyFont="1" applyBorder="1"/>
    <xf numFmtId="0" fontId="6" fillId="7" borderId="2" xfId="0" applyFont="1" applyFill="1" applyBorder="1" applyAlignment="1">
      <alignment horizontal="left" vertical="center" wrapText="1"/>
    </xf>
    <xf numFmtId="0" fontId="5" fillId="7" borderId="2" xfId="0" applyFont="1" applyFill="1" applyBorder="1" applyAlignment="1">
      <alignment horizontal="left" vertical="center"/>
    </xf>
    <xf numFmtId="0" fontId="5" fillId="0" borderId="2" xfId="0" applyFont="1" applyBorder="1" applyAlignment="1">
      <alignment horizontal="right" vertical="center"/>
    </xf>
    <xf numFmtId="0" fontId="6" fillId="0" borderId="2" xfId="0" applyFont="1" applyBorder="1" applyAlignment="1">
      <alignment horizontal="left" vertical="center" wrapText="1"/>
    </xf>
    <xf numFmtId="0" fontId="5" fillId="0" borderId="2" xfId="0" applyFont="1" applyBorder="1" applyAlignment="1">
      <alignment vertical="center"/>
    </xf>
    <xf numFmtId="0" fontId="5" fillId="0" borderId="3" xfId="0" applyFont="1" applyBorder="1" applyAlignment="1">
      <alignment horizontal="left" vertical="center"/>
    </xf>
    <xf numFmtId="4" fontId="22" fillId="0" borderId="2" xfId="1" applyNumberFormat="1" applyFont="1" applyBorder="1" applyAlignment="1">
      <alignment horizontal="right" vertical="center"/>
    </xf>
    <xf numFmtId="0" fontId="5" fillId="7" borderId="2" xfId="0" applyFont="1" applyFill="1" applyBorder="1" applyAlignment="1">
      <alignment horizontal="left" vertical="center" indent="2"/>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7" borderId="2" xfId="0" applyFont="1" applyFill="1" applyBorder="1" applyAlignment="1">
      <alignment horizontal="left" vertical="center" wrapText="1"/>
    </xf>
    <xf numFmtId="0" fontId="5" fillId="7" borderId="2" xfId="0" applyFont="1" applyFill="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vertical="center"/>
    </xf>
    <xf numFmtId="0" fontId="6" fillId="7" borderId="2" xfId="0" applyFont="1" applyFill="1" applyBorder="1" applyAlignment="1">
      <alignment horizontal="left" vertical="center"/>
    </xf>
    <xf numFmtId="4" fontId="5" fillId="0" borderId="23" xfId="0" applyNumberFormat="1" applyFont="1" applyBorder="1" applyAlignment="1">
      <alignment vertical="center"/>
    </xf>
    <xf numFmtId="0" fontId="5" fillId="7" borderId="2" xfId="0" applyFont="1" applyFill="1" applyBorder="1" applyAlignment="1">
      <alignment vertical="top" wrapText="1"/>
    </xf>
    <xf numFmtId="0" fontId="5" fillId="7" borderId="23" xfId="0" applyFont="1" applyFill="1" applyBorder="1" applyAlignment="1">
      <alignment horizontal="left" vertical="center" wrapText="1"/>
    </xf>
    <xf numFmtId="0" fontId="5" fillId="7" borderId="3" xfId="0" applyFont="1" applyFill="1" applyBorder="1" applyAlignment="1">
      <alignment vertical="center" wrapText="1"/>
    </xf>
    <xf numFmtId="0" fontId="6" fillId="7" borderId="23" xfId="0" applyFont="1" applyFill="1" applyBorder="1" applyAlignment="1">
      <alignment horizontal="left" vertical="center" wrapText="1"/>
    </xf>
    <xf numFmtId="43" fontId="6" fillId="8" borderId="23" xfId="1" applyFont="1" applyFill="1" applyBorder="1" applyAlignment="1">
      <alignment horizontal="center" vertical="center"/>
    </xf>
    <xf numFmtId="43" fontId="6" fillId="7" borderId="23" xfId="1" applyFont="1" applyFill="1" applyBorder="1" applyAlignment="1">
      <alignment horizontal="left" vertical="center"/>
    </xf>
    <xf numFmtId="0" fontId="6" fillId="7" borderId="6" xfId="0" applyFont="1" applyFill="1" applyBorder="1" applyAlignment="1">
      <alignment horizontal="left" vertical="center"/>
    </xf>
    <xf numFmtId="0" fontId="5" fillId="7" borderId="2" xfId="0" applyFont="1" applyFill="1" applyBorder="1" applyAlignment="1">
      <alignment vertical="center"/>
    </xf>
    <xf numFmtId="0" fontId="5" fillId="7" borderId="6" xfId="0" applyFont="1" applyFill="1" applyBorder="1" applyAlignment="1">
      <alignment vertical="center" wrapText="1"/>
    </xf>
    <xf numFmtId="0" fontId="6" fillId="7" borderId="29" xfId="0" applyFont="1" applyFill="1" applyBorder="1" applyAlignment="1">
      <alignment horizontal="left" vertical="center"/>
    </xf>
    <xf numFmtId="0" fontId="5" fillId="7" borderId="29" xfId="0" applyFont="1" applyFill="1" applyBorder="1" applyAlignment="1">
      <alignment horizontal="left" vertical="center" wrapText="1"/>
    </xf>
    <xf numFmtId="0" fontId="5" fillId="7" borderId="2" xfId="0" applyFont="1" applyFill="1" applyBorder="1" applyAlignment="1">
      <alignment vertical="center" wrapText="1"/>
    </xf>
    <xf numFmtId="0" fontId="5" fillId="0" borderId="2" xfId="0" applyFont="1" applyBorder="1" applyAlignment="1">
      <alignment vertical="center" wrapText="1"/>
    </xf>
    <xf numFmtId="4" fontId="22" fillId="0" borderId="23" xfId="0" applyNumberFormat="1" applyFont="1" applyBorder="1" applyAlignment="1">
      <alignment vertical="center"/>
    </xf>
    <xf numFmtId="4" fontId="5" fillId="8" borderId="2" xfId="0" applyNumberFormat="1" applyFont="1" applyFill="1" applyBorder="1" applyAlignment="1">
      <alignment horizontal="right" vertical="center"/>
    </xf>
    <xf numFmtId="0" fontId="5" fillId="0" borderId="2" xfId="0" applyFont="1" applyBorder="1" applyAlignment="1">
      <alignment horizontal="center" vertical="center"/>
    </xf>
    <xf numFmtId="4" fontId="6" fillId="5" borderId="2" xfId="1" applyNumberFormat="1" applyFont="1" applyFill="1" applyBorder="1" applyAlignment="1">
      <alignment horizontal="right" vertical="center"/>
    </xf>
    <xf numFmtId="0" fontId="24" fillId="0" borderId="2" xfId="0" applyFont="1" applyBorder="1" applyAlignment="1">
      <alignment horizontal="left" vertical="center" wrapText="1"/>
    </xf>
    <xf numFmtId="0" fontId="22" fillId="7" borderId="2" xfId="0" applyFont="1" applyFill="1" applyBorder="1" applyAlignment="1">
      <alignment horizontal="left" vertical="center"/>
    </xf>
    <xf numFmtId="0" fontId="22" fillId="0" borderId="2" xfId="0" applyFont="1" applyBorder="1" applyAlignment="1">
      <alignment horizontal="right" vertical="center"/>
    </xf>
    <xf numFmtId="0" fontId="6" fillId="0" borderId="2" xfId="0" applyFont="1" applyBorder="1" applyAlignment="1">
      <alignment horizontal="left" vertical="center" wrapText="1" indent="2"/>
    </xf>
    <xf numFmtId="0" fontId="5" fillId="7" borderId="23" xfId="0" applyFont="1" applyFill="1" applyBorder="1" applyAlignment="1">
      <alignment vertical="center" wrapText="1"/>
    </xf>
    <xf numFmtId="165" fontId="6" fillId="4" borderId="2" xfId="0" applyNumberFormat="1" applyFont="1" applyFill="1" applyBorder="1" applyAlignment="1">
      <alignment horizontal="right" vertical="center"/>
    </xf>
    <xf numFmtId="4" fontId="6" fillId="4" borderId="2" xfId="1" applyNumberFormat="1" applyFont="1" applyFill="1" applyBorder="1" applyAlignment="1">
      <alignment vertical="center"/>
    </xf>
    <xf numFmtId="0" fontId="6" fillId="4" borderId="2" xfId="0" applyFont="1" applyFill="1" applyBorder="1" applyAlignment="1">
      <alignment vertical="center"/>
    </xf>
    <xf numFmtId="4" fontId="6" fillId="4" borderId="2" xfId="1" applyNumberFormat="1" applyFont="1" applyFill="1" applyBorder="1" applyAlignment="1">
      <alignment horizontal="right" vertical="center"/>
    </xf>
    <xf numFmtId="0" fontId="6" fillId="7" borderId="23" xfId="0" applyFont="1" applyFill="1" applyBorder="1" applyAlignment="1">
      <alignment vertical="center"/>
    </xf>
    <xf numFmtId="0" fontId="5" fillId="7" borderId="32" xfId="0" applyFont="1" applyFill="1" applyBorder="1" applyAlignment="1">
      <alignment vertical="center" wrapText="1"/>
    </xf>
    <xf numFmtId="0" fontId="5" fillId="7" borderId="26" xfId="0" applyFont="1" applyFill="1" applyBorder="1" applyAlignment="1">
      <alignment vertical="center" wrapText="1"/>
    </xf>
    <xf numFmtId="0" fontId="6" fillId="4" borderId="3" xfId="0" applyFont="1" applyFill="1" applyBorder="1" applyAlignment="1">
      <alignment vertical="center"/>
    </xf>
    <xf numFmtId="0" fontId="6" fillId="5" borderId="2" xfId="0" applyFont="1" applyFill="1" applyBorder="1" applyAlignment="1">
      <alignment vertical="center"/>
    </xf>
    <xf numFmtId="0" fontId="5" fillId="5" borderId="2" xfId="0" applyFont="1" applyFill="1" applyBorder="1" applyAlignment="1">
      <alignment vertical="center"/>
    </xf>
    <xf numFmtId="0" fontId="24" fillId="7" borderId="6" xfId="0" applyFont="1" applyFill="1" applyBorder="1" applyAlignment="1">
      <alignment horizontal="left" vertical="center"/>
    </xf>
    <xf numFmtId="0" fontId="22" fillId="7" borderId="6" xfId="0" applyFont="1" applyFill="1" applyBorder="1" applyAlignment="1">
      <alignment horizontal="left" vertical="center" wrapText="1"/>
    </xf>
    <xf numFmtId="0" fontId="22" fillId="0" borderId="2" xfId="0" applyFont="1" applyBorder="1" applyAlignment="1">
      <alignment vertical="center" wrapText="1"/>
    </xf>
    <xf numFmtId="0" fontId="6" fillId="7" borderId="6" xfId="0" applyFont="1" applyFill="1" applyBorder="1" applyAlignment="1">
      <alignment horizontal="left" vertical="center" indent="2"/>
    </xf>
    <xf numFmtId="0" fontId="5" fillId="0" borderId="3" xfId="0" applyFont="1" applyBorder="1" applyAlignment="1">
      <alignment vertical="center" wrapText="1"/>
    </xf>
    <xf numFmtId="4" fontId="2" fillId="0" borderId="0" xfId="1" applyNumberFormat="1" applyFont="1" applyFill="1"/>
    <xf numFmtId="10" fontId="2" fillId="0" borderId="0" xfId="6" applyNumberFormat="1" applyFont="1" applyFill="1"/>
    <xf numFmtId="0" fontId="5" fillId="0" borderId="6" xfId="0" applyFont="1" applyBorder="1" applyAlignment="1">
      <alignment horizontal="left" vertical="center" wrapText="1" indent="2"/>
    </xf>
    <xf numFmtId="0" fontId="5" fillId="0" borderId="23" xfId="0" applyFont="1" applyBorder="1" applyAlignment="1">
      <alignment horizontal="left" vertical="center" wrapText="1"/>
    </xf>
    <xf numFmtId="0" fontId="25" fillId="0" borderId="0" xfId="0" applyFont="1" applyAlignment="1">
      <alignment vertical="center"/>
    </xf>
    <xf numFmtId="4" fontId="2" fillId="0" borderId="0" xfId="1" applyNumberFormat="1" applyFont="1"/>
    <xf numFmtId="2" fontId="0" fillId="0" borderId="0" xfId="0" applyNumberFormat="1"/>
    <xf numFmtId="43" fontId="0" fillId="0" borderId="0" xfId="0" applyNumberFormat="1"/>
    <xf numFmtId="4" fontId="0" fillId="0" borderId="0" xfId="0" applyNumberFormat="1"/>
    <xf numFmtId="39" fontId="0" fillId="0" borderId="0" xfId="0" applyNumberFormat="1"/>
    <xf numFmtId="44" fontId="0" fillId="0" borderId="0" xfId="10" applyFont="1" applyFill="1"/>
    <xf numFmtId="44" fontId="0" fillId="0" borderId="0" xfId="0" applyNumberFormat="1"/>
    <xf numFmtId="10" fontId="0" fillId="0" borderId="0" xfId="6" applyNumberFormat="1" applyFont="1" applyFill="1"/>
    <xf numFmtId="0" fontId="9" fillId="0" borderId="8" xfId="2" applyFont="1" applyBorder="1" applyAlignment="1">
      <alignment horizontal="center" vertical="center" wrapText="1"/>
    </xf>
    <xf numFmtId="0" fontId="8" fillId="0" borderId="51" xfId="2" applyFont="1" applyBorder="1" applyAlignment="1">
      <alignment vertical="center"/>
    </xf>
    <xf numFmtId="0" fontId="8" fillId="0" borderId="52" xfId="2" applyFont="1" applyBorder="1" applyAlignment="1">
      <alignment horizontal="left" vertical="center"/>
    </xf>
    <xf numFmtId="0" fontId="6" fillId="0" borderId="8" xfId="2" applyFont="1" applyBorder="1" applyAlignment="1">
      <alignment horizontal="left" vertical="center"/>
    </xf>
    <xf numFmtId="4" fontId="5" fillId="6" borderId="2" xfId="1" applyNumberFormat="1" applyFont="1" applyFill="1" applyBorder="1" applyAlignment="1">
      <alignment horizontal="right" vertical="center"/>
    </xf>
    <xf numFmtId="4" fontId="5" fillId="0" borderId="2" xfId="1" applyNumberFormat="1" applyFont="1" applyFill="1" applyBorder="1" applyAlignment="1">
      <alignment horizontal="right" vertical="center"/>
    </xf>
    <xf numFmtId="4" fontId="5" fillId="7" borderId="2" xfId="1" applyNumberFormat="1" applyFont="1" applyFill="1" applyBorder="1" applyAlignment="1">
      <alignment horizontal="right" vertical="center"/>
    </xf>
    <xf numFmtId="4" fontId="22" fillId="6" borderId="2" xfId="1" applyNumberFormat="1" applyFont="1" applyFill="1" applyBorder="1" applyAlignment="1">
      <alignment horizontal="right" vertical="center"/>
    </xf>
    <xf numFmtId="4" fontId="22" fillId="0" borderId="2" xfId="1" applyNumberFormat="1" applyFont="1" applyFill="1" applyBorder="1" applyAlignment="1">
      <alignment horizontal="right" vertical="center"/>
    </xf>
    <xf numFmtId="4" fontId="5" fillId="7" borderId="2" xfId="1" applyNumberFormat="1" applyFont="1" applyFill="1" applyBorder="1" applyAlignment="1">
      <alignment vertical="center"/>
    </xf>
    <xf numFmtId="4" fontId="5" fillId="8" borderId="23" xfId="1" applyNumberFormat="1" applyFont="1" applyFill="1" applyBorder="1" applyAlignment="1">
      <alignment vertical="center"/>
    </xf>
    <xf numFmtId="4" fontId="5" fillId="0" borderId="6" xfId="1" applyNumberFormat="1" applyFont="1" applyFill="1" applyBorder="1" applyAlignment="1">
      <alignment vertical="center"/>
    </xf>
    <xf numFmtId="4" fontId="5" fillId="0" borderId="2" xfId="1" applyNumberFormat="1" applyFont="1" applyFill="1" applyBorder="1" applyAlignment="1">
      <alignment vertical="center"/>
    </xf>
    <xf numFmtId="4" fontId="22" fillId="0" borderId="2" xfId="1" applyNumberFormat="1" applyFont="1" applyFill="1" applyBorder="1" applyAlignment="1">
      <alignment vertical="center"/>
    </xf>
    <xf numFmtId="4" fontId="5" fillId="6" borderId="2" xfId="1" applyNumberFormat="1" applyFont="1" applyFill="1" applyBorder="1" applyAlignment="1">
      <alignment vertical="center"/>
    </xf>
    <xf numFmtId="4" fontId="5" fillId="7" borderId="30" xfId="0" applyNumberFormat="1" applyFont="1" applyFill="1" applyBorder="1" applyAlignment="1">
      <alignment vertical="center"/>
    </xf>
    <xf numFmtId="4" fontId="5" fillId="6" borderId="23" xfId="1" applyNumberFormat="1" applyFont="1" applyFill="1" applyBorder="1" applyAlignment="1">
      <alignment vertical="center"/>
    </xf>
    <xf numFmtId="4" fontId="5" fillId="7" borderId="6" xfId="1" applyNumberFormat="1" applyFont="1" applyFill="1" applyBorder="1" applyAlignment="1">
      <alignment vertical="center"/>
    </xf>
    <xf numFmtId="4" fontId="5" fillId="6" borderId="6" xfId="1" applyNumberFormat="1" applyFont="1" applyFill="1" applyBorder="1" applyAlignment="1">
      <alignment vertical="center"/>
    </xf>
    <xf numFmtId="4" fontId="22" fillId="6" borderId="2" xfId="1" applyNumberFormat="1" applyFont="1" applyFill="1" applyBorder="1" applyAlignment="1">
      <alignment vertical="center"/>
    </xf>
    <xf numFmtId="4" fontId="22" fillId="0" borderId="2" xfId="1" applyNumberFormat="1" applyFont="1" applyBorder="1" applyAlignment="1">
      <alignment vertical="center"/>
    </xf>
    <xf numFmtId="4" fontId="5" fillId="0" borderId="23" xfId="1" applyNumberFormat="1" applyFont="1" applyFill="1" applyBorder="1" applyAlignment="1">
      <alignment vertical="center"/>
    </xf>
    <xf numFmtId="4" fontId="6" fillId="5" borderId="2" xfId="1" applyNumberFormat="1" applyFont="1" applyFill="1" applyBorder="1" applyAlignment="1">
      <alignment vertical="center"/>
    </xf>
    <xf numFmtId="4" fontId="5" fillId="8" borderId="5" xfId="0" applyNumberFormat="1" applyFont="1" applyFill="1" applyBorder="1" applyAlignment="1">
      <alignment horizontal="right" vertical="center"/>
    </xf>
    <xf numFmtId="4" fontId="5" fillId="6" borderId="2" xfId="0" applyNumberFormat="1" applyFont="1" applyFill="1" applyBorder="1" applyAlignment="1">
      <alignment horizontal="right" vertical="center"/>
    </xf>
    <xf numFmtId="4" fontId="6" fillId="0" borderId="7" xfId="1" applyNumberFormat="1" applyFont="1" applyFill="1" applyBorder="1" applyAlignment="1">
      <alignment horizontal="right" vertical="center"/>
    </xf>
    <xf numFmtId="4" fontId="9" fillId="0" borderId="11" xfId="1" applyNumberFormat="1" applyFont="1" applyFill="1" applyBorder="1" applyAlignment="1">
      <alignment horizontal="right" vertical="center"/>
    </xf>
    <xf numFmtId="4" fontId="9" fillId="7" borderId="11" xfId="2" applyNumberFormat="1" applyFont="1" applyFill="1" applyBorder="1" applyAlignment="1">
      <alignment horizontal="right" vertical="center"/>
    </xf>
    <xf numFmtId="4" fontId="8" fillId="0" borderId="12" xfId="1" applyNumberFormat="1" applyFont="1" applyFill="1" applyBorder="1" applyAlignment="1">
      <alignment horizontal="right" vertical="center"/>
    </xf>
    <xf numFmtId="4" fontId="9" fillId="0" borderId="17" xfId="2" applyNumberFormat="1" applyFont="1" applyBorder="1" applyAlignment="1">
      <alignment horizontal="right" vertical="center"/>
    </xf>
    <xf numFmtId="4" fontId="9" fillId="7" borderId="17" xfId="1" applyNumberFormat="1" applyFont="1" applyFill="1" applyBorder="1" applyAlignment="1"/>
    <xf numFmtId="4" fontId="5" fillId="0" borderId="17" xfId="1" applyNumberFormat="1" applyFont="1" applyFill="1" applyBorder="1" applyAlignment="1">
      <alignment horizontal="right" vertical="center"/>
    </xf>
    <xf numFmtId="4" fontId="9" fillId="7" borderId="17" xfId="2" applyNumberFormat="1" applyFont="1" applyFill="1" applyBorder="1" applyAlignment="1">
      <alignment horizontal="right" vertical="center"/>
    </xf>
    <xf numFmtId="4" fontId="8" fillId="0" borderId="13" xfId="1" applyNumberFormat="1" applyFont="1" applyFill="1" applyBorder="1" applyAlignment="1">
      <alignment horizontal="right" vertical="center"/>
    </xf>
    <xf numFmtId="4" fontId="5" fillId="7" borderId="7" xfId="2" applyNumberFormat="1" applyFill="1" applyBorder="1" applyAlignment="1">
      <alignment horizontal="right" vertical="center"/>
    </xf>
    <xf numFmtId="4" fontId="5" fillId="7" borderId="10" xfId="2" applyNumberFormat="1" applyFill="1" applyBorder="1" applyAlignment="1">
      <alignment horizontal="right" vertical="center"/>
    </xf>
    <xf numFmtId="4" fontId="6" fillId="0" borderId="9" xfId="1" applyNumberFormat="1" applyFont="1" applyFill="1" applyBorder="1" applyAlignment="1">
      <alignment horizontal="right" vertical="center"/>
    </xf>
    <xf numFmtId="4" fontId="6" fillId="0" borderId="6" xfId="1" applyNumberFormat="1" applyFont="1" applyFill="1" applyBorder="1" applyAlignment="1"/>
    <xf numFmtId="4" fontId="6" fillId="0" borderId="15" xfId="1" applyNumberFormat="1" applyFont="1" applyFill="1" applyBorder="1" applyAlignment="1"/>
    <xf numFmtId="4" fontId="6" fillId="0" borderId="2" xfId="1" applyNumberFormat="1" applyFont="1" applyFill="1" applyBorder="1" applyAlignment="1"/>
    <xf numFmtId="4" fontId="6" fillId="0" borderId="16" xfId="1" applyNumberFormat="1" applyFont="1" applyFill="1" applyBorder="1" applyAlignment="1"/>
    <xf numFmtId="0" fontId="1" fillId="5" borderId="5"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43" fontId="1" fillId="3" borderId="27" xfId="1" applyFont="1" applyFill="1" applyBorder="1" applyAlignment="1">
      <alignment horizontal="center" vertical="center"/>
    </xf>
    <xf numFmtId="43" fontId="1" fillId="3" borderId="24" xfId="1" applyFont="1" applyFill="1" applyBorder="1" applyAlignment="1">
      <alignment horizontal="center" vertical="center"/>
    </xf>
    <xf numFmtId="43" fontId="1" fillId="3" borderId="28" xfId="1"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5" fillId="7" borderId="48" xfId="0" applyFont="1" applyFill="1" applyBorder="1" applyAlignment="1">
      <alignment horizontal="left" vertical="center" wrapText="1"/>
    </xf>
    <xf numFmtId="0" fontId="5" fillId="7" borderId="49" xfId="0" applyFont="1" applyFill="1" applyBorder="1" applyAlignment="1">
      <alignment horizontal="left" vertical="center" wrapText="1"/>
    </xf>
    <xf numFmtId="0" fontId="5" fillId="7" borderId="50" xfId="0" applyFont="1" applyFill="1" applyBorder="1" applyAlignment="1">
      <alignment horizontal="left" vertical="center" wrapText="1"/>
    </xf>
    <xf numFmtId="0" fontId="1" fillId="3" borderId="27"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8" xfId="0" applyFont="1" applyFill="1" applyBorder="1" applyAlignment="1">
      <alignment horizontal="center" vertical="center"/>
    </xf>
    <xf numFmtId="0" fontId="21" fillId="0" borderId="0" xfId="0" applyFont="1" applyAlignment="1">
      <alignment horizontal="center" wrapText="1"/>
    </xf>
    <xf numFmtId="0" fontId="13" fillId="2" borderId="1"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1" fillId="3" borderId="2" xfId="0" applyFont="1" applyFill="1" applyBorder="1" applyAlignment="1">
      <alignment horizontal="center" vertical="center"/>
    </xf>
    <xf numFmtId="0" fontId="5" fillId="0" borderId="29" xfId="0" applyFont="1" applyBorder="1" applyAlignment="1">
      <alignment horizontal="left" vertical="center" wrapText="1"/>
    </xf>
    <xf numFmtId="0" fontId="5" fillId="0" borderId="37" xfId="0" applyFont="1" applyBorder="1" applyAlignment="1">
      <alignment horizontal="left" vertical="center" wrapText="1"/>
    </xf>
    <xf numFmtId="0" fontId="5" fillId="0" borderId="6" xfId="0" applyFont="1" applyBorder="1" applyAlignment="1">
      <alignment horizontal="left" vertical="center" wrapText="1"/>
    </xf>
    <xf numFmtId="0" fontId="17" fillId="0" borderId="0" xfId="0" applyFont="1" applyAlignment="1">
      <alignment horizontal="center" wrapText="1"/>
    </xf>
    <xf numFmtId="0" fontId="1" fillId="0" borderId="5" xfId="0" applyFont="1" applyBorder="1" applyAlignment="1">
      <alignment horizontal="center" wrapText="1"/>
    </xf>
    <xf numFmtId="0" fontId="1" fillId="0" borderId="3" xfId="0" applyFont="1" applyBorder="1" applyAlignment="1">
      <alignment horizontal="center" wrapText="1"/>
    </xf>
    <xf numFmtId="0" fontId="1" fillId="4" borderId="5" xfId="0" applyFont="1" applyFill="1" applyBorder="1" applyAlignment="1">
      <alignment horizontal="center" wrapText="1"/>
    </xf>
    <xf numFmtId="0" fontId="1" fillId="4" borderId="3" xfId="0" applyFont="1" applyFill="1" applyBorder="1" applyAlignment="1">
      <alignment horizontal="center" wrapText="1"/>
    </xf>
    <xf numFmtId="0" fontId="1" fillId="4" borderId="5" xfId="0" applyFont="1" applyFill="1" applyBorder="1" applyAlignment="1">
      <alignment horizontal="center" vertical="center"/>
    </xf>
    <xf numFmtId="0" fontId="1" fillId="4"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3" xfId="0" applyFont="1" applyFill="1" applyBorder="1" applyAlignment="1">
      <alignment horizontal="center" wrapText="1"/>
    </xf>
    <xf numFmtId="0" fontId="2" fillId="0" borderId="3" xfId="0" applyFont="1" applyBorder="1" applyAlignment="1">
      <alignment horizontal="center" wrapText="1"/>
    </xf>
    <xf numFmtId="43" fontId="1" fillId="3" borderId="5" xfId="1" applyFont="1" applyFill="1" applyBorder="1" applyAlignment="1">
      <alignment horizontal="center" vertical="center"/>
    </xf>
    <xf numFmtId="43" fontId="1" fillId="3" borderId="4" xfId="1" applyFont="1" applyFill="1" applyBorder="1" applyAlignment="1">
      <alignment horizontal="center" vertical="center"/>
    </xf>
    <xf numFmtId="43" fontId="1" fillId="3" borderId="3" xfId="1" applyFont="1" applyFill="1" applyBorder="1" applyAlignment="1">
      <alignment horizontal="center" vertical="center"/>
    </xf>
    <xf numFmtId="0" fontId="2" fillId="5" borderId="3" xfId="0" applyFont="1" applyFill="1" applyBorder="1" applyAlignment="1">
      <alignment horizontal="center" vertical="center" wrapText="1"/>
    </xf>
    <xf numFmtId="0" fontId="6" fillId="0" borderId="47" xfId="7" applyFont="1" applyBorder="1" applyAlignment="1">
      <alignment horizontal="left"/>
    </xf>
    <xf numFmtId="0" fontId="6" fillId="0" borderId="25" xfId="7" applyFont="1" applyBorder="1" applyAlignment="1">
      <alignment horizontal="left"/>
    </xf>
    <xf numFmtId="0" fontId="6" fillId="0" borderId="26" xfId="7" applyFont="1" applyBorder="1" applyAlignment="1">
      <alignment horizontal="left"/>
    </xf>
    <xf numFmtId="0" fontId="11" fillId="0" borderId="0" xfId="7" applyFont="1" applyAlignment="1">
      <alignment horizontal="left" wrapText="1"/>
    </xf>
    <xf numFmtId="0" fontId="1" fillId="11" borderId="5" xfId="7" applyFont="1" applyFill="1" applyBorder="1" applyAlignment="1">
      <alignment horizontal="center" vertical="center"/>
    </xf>
    <xf numFmtId="0" fontId="1" fillId="11" borderId="4" xfId="7" applyFont="1" applyFill="1" applyBorder="1" applyAlignment="1">
      <alignment horizontal="center" vertical="center"/>
    </xf>
    <xf numFmtId="0" fontId="1" fillId="11" borderId="3" xfId="7" applyFont="1" applyFill="1" applyBorder="1" applyAlignment="1">
      <alignment horizontal="center" vertical="center"/>
    </xf>
    <xf numFmtId="0" fontId="1" fillId="0" borderId="5" xfId="7" applyFont="1" applyBorder="1" applyAlignment="1">
      <alignment horizontal="center" vertical="center"/>
    </xf>
    <xf numFmtId="0" fontId="1" fillId="0" borderId="4" xfId="7" applyFont="1" applyBorder="1" applyAlignment="1">
      <alignment horizontal="center" vertical="center"/>
    </xf>
    <xf numFmtId="0" fontId="1" fillId="0" borderId="3" xfId="7" applyFont="1" applyBorder="1" applyAlignment="1">
      <alignment horizontal="center" vertical="center"/>
    </xf>
    <xf numFmtId="0" fontId="6" fillId="0" borderId="34" xfId="7" applyFont="1" applyBorder="1" applyAlignment="1">
      <alignment horizontal="left"/>
    </xf>
    <xf numFmtId="0" fontId="6" fillId="0" borderId="35" xfId="7" applyFont="1" applyBorder="1" applyAlignment="1">
      <alignment horizontal="left"/>
    </xf>
    <xf numFmtId="0" fontId="1" fillId="11" borderId="39" xfId="7" applyFont="1" applyFill="1" applyBorder="1" applyAlignment="1">
      <alignment horizontal="center" vertical="center"/>
    </xf>
    <xf numFmtId="0" fontId="1" fillId="11" borderId="40" xfId="7" applyFont="1" applyFill="1" applyBorder="1" applyAlignment="1">
      <alignment horizontal="center" vertical="center"/>
    </xf>
    <xf numFmtId="0" fontId="1" fillId="11" borderId="41" xfId="7" applyFont="1" applyFill="1" applyBorder="1" applyAlignment="1">
      <alignment horizontal="center" vertical="center"/>
    </xf>
    <xf numFmtId="0" fontId="1" fillId="11" borderId="44" xfId="7" applyFont="1" applyFill="1" applyBorder="1" applyAlignment="1">
      <alignment horizontal="center" vertical="center"/>
    </xf>
    <xf numFmtId="0" fontId="1" fillId="11" borderId="45" xfId="7" applyFont="1" applyFill="1" applyBorder="1" applyAlignment="1">
      <alignment horizontal="center" vertical="center"/>
    </xf>
    <xf numFmtId="0" fontId="1" fillId="11" borderId="46" xfId="7" applyFont="1" applyFill="1" applyBorder="1" applyAlignment="1">
      <alignment horizontal="center" vertical="center"/>
    </xf>
    <xf numFmtId="0" fontId="6" fillId="0" borderId="5" xfId="7" applyFont="1" applyBorder="1" applyAlignment="1">
      <alignment horizontal="center" vertical="center"/>
    </xf>
    <xf numFmtId="0" fontId="6" fillId="0" borderId="4" xfId="7" applyFont="1" applyBorder="1" applyAlignment="1">
      <alignment horizontal="center" vertical="center"/>
    </xf>
    <xf numFmtId="0" fontId="6" fillId="0" borderId="3" xfId="7" applyFont="1" applyBorder="1" applyAlignment="1">
      <alignment horizontal="center" vertical="center"/>
    </xf>
  </cellXfs>
  <cellStyles count="11">
    <cellStyle name="Comma" xfId="1" builtinId="3"/>
    <cellStyle name="Comma 2" xfId="3" xr:uid="{00000000-0005-0000-0000-000001000000}"/>
    <cellStyle name="Comma 2 2" xfId="5" xr:uid="{00000000-0005-0000-0000-000002000000}"/>
    <cellStyle name="Comma 3" xfId="4" xr:uid="{00000000-0005-0000-0000-000003000000}"/>
    <cellStyle name="Comma 4" xfId="9" xr:uid="{F175B76B-B42E-4E83-8E2C-A33219045702}"/>
    <cellStyle name="Currency" xfId="10" builtinId="4"/>
    <cellStyle name="Currency 2" xfId="8" xr:uid="{4B40BC94-F0A6-43BE-ADD5-EDB5256CB0AF}"/>
    <cellStyle name="Normal" xfId="0" builtinId="0"/>
    <cellStyle name="Normal 2" xfId="2" xr:uid="{00000000-0005-0000-0000-000005000000}"/>
    <cellStyle name="Normal 3" xfId="7" xr:uid="{0E86C56B-6CAC-48A1-A645-7658EEF42234}"/>
    <cellStyle name="Percent" xfId="6" builtinId="5"/>
  </cellStyles>
  <dxfs count="0"/>
  <tableStyles count="0" defaultTableStyle="TableStyleMedium9" defaultPivotStyle="PivotStyleLight16"/>
  <colors>
    <mruColors>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5F351-05D6-4351-8EEB-3638BCB1248C}">
  <dimension ref="A1:CT78"/>
  <sheetViews>
    <sheetView tabSelected="1" zoomScale="110" zoomScaleNormal="110" workbookViewId="0">
      <pane ySplit="3" topLeftCell="A45" activePane="bottomLeft" state="frozen"/>
      <selection pane="bottomLeft" activeCell="A58" sqref="A58:XFD58"/>
    </sheetView>
  </sheetViews>
  <sheetFormatPr defaultColWidth="9.140625" defaultRowHeight="15" x14ac:dyDescent="0.25"/>
  <cols>
    <col min="1" max="1" width="21.5703125" style="17" customWidth="1"/>
    <col min="2" max="2" width="37" style="18" customWidth="1"/>
    <col min="3" max="3" width="15.140625" style="18" bestFit="1" customWidth="1"/>
    <col min="4" max="12" width="14.7109375" style="18" customWidth="1"/>
    <col min="13" max="13" width="28.140625" style="18" customWidth="1"/>
    <col min="14" max="14" width="3.140625" customWidth="1"/>
    <col min="15" max="15" width="12.85546875" bestFit="1" customWidth="1"/>
    <col min="16" max="16" width="18.85546875" bestFit="1" customWidth="1"/>
    <col min="17" max="17" width="14" bestFit="1" customWidth="1"/>
    <col min="18" max="18" width="14.5703125" bestFit="1" customWidth="1"/>
    <col min="19" max="20" width="15.5703125" bestFit="1" customWidth="1"/>
  </cols>
  <sheetData>
    <row r="1" spans="1:13" ht="30.6" customHeight="1" x14ac:dyDescent="0.25">
      <c r="A1" s="441" t="s">
        <v>115</v>
      </c>
      <c r="B1" s="441"/>
      <c r="C1" s="441"/>
      <c r="D1" s="441"/>
      <c r="E1" s="441"/>
      <c r="F1" s="441"/>
      <c r="G1" s="441"/>
      <c r="H1" s="441"/>
      <c r="I1" s="441"/>
      <c r="J1" s="441"/>
      <c r="K1" s="441"/>
      <c r="L1" s="441"/>
      <c r="M1" s="441"/>
    </row>
    <row r="2" spans="1:13" s="10" customFormat="1" ht="18" x14ac:dyDescent="0.25">
      <c r="A2" s="442" t="s">
        <v>0</v>
      </c>
      <c r="B2" s="442"/>
      <c r="C2" s="442"/>
      <c r="D2" s="442"/>
      <c r="E2" s="442"/>
      <c r="F2" s="442"/>
      <c r="G2" s="442"/>
      <c r="H2" s="442"/>
      <c r="I2" s="442"/>
      <c r="J2" s="442"/>
      <c r="K2" s="442"/>
      <c r="L2" s="442"/>
      <c r="M2" s="442"/>
    </row>
    <row r="3" spans="1:13" s="10" customFormat="1" ht="51.75" thickBot="1" x14ac:dyDescent="0.3">
      <c r="A3" s="195" t="s">
        <v>1</v>
      </c>
      <c r="B3" s="195" t="s">
        <v>2</v>
      </c>
      <c r="C3" s="196" t="s">
        <v>3</v>
      </c>
      <c r="D3" s="195" t="s">
        <v>4</v>
      </c>
      <c r="E3" s="195" t="s">
        <v>5</v>
      </c>
      <c r="F3" s="197" t="s">
        <v>6</v>
      </c>
      <c r="G3" s="195" t="s">
        <v>7</v>
      </c>
      <c r="H3" s="197" t="s">
        <v>8</v>
      </c>
      <c r="I3" s="195" t="s">
        <v>9</v>
      </c>
      <c r="J3" s="195" t="s">
        <v>10</v>
      </c>
      <c r="K3" s="195" t="s">
        <v>11</v>
      </c>
      <c r="L3" s="195" t="s">
        <v>12</v>
      </c>
      <c r="M3" s="195" t="s">
        <v>13</v>
      </c>
    </row>
    <row r="4" spans="1:13" s="10" customFormat="1" x14ac:dyDescent="0.25">
      <c r="A4" s="443" t="s">
        <v>14</v>
      </c>
      <c r="B4" s="444"/>
      <c r="C4" s="444"/>
      <c r="D4" s="444"/>
      <c r="E4" s="444"/>
      <c r="F4" s="444"/>
      <c r="G4" s="444"/>
      <c r="H4" s="444"/>
      <c r="I4" s="444"/>
      <c r="J4" s="444"/>
      <c r="K4" s="444"/>
      <c r="L4" s="444"/>
      <c r="M4" s="445"/>
    </row>
    <row r="5" spans="1:13" s="10" customFormat="1" x14ac:dyDescent="0.25">
      <c r="A5" s="446" t="s">
        <v>15</v>
      </c>
      <c r="B5" s="446"/>
      <c r="C5" s="446"/>
      <c r="D5" s="446"/>
      <c r="E5" s="446"/>
      <c r="F5" s="446"/>
      <c r="G5" s="446"/>
      <c r="H5" s="446"/>
      <c r="I5" s="446"/>
      <c r="J5" s="446"/>
      <c r="K5" s="446"/>
      <c r="L5" s="446"/>
      <c r="M5" s="446"/>
    </row>
    <row r="6" spans="1:13" ht="26.45" customHeight="1" x14ac:dyDescent="0.25">
      <c r="A6" s="56" t="s">
        <v>16</v>
      </c>
      <c r="B6" s="54" t="s">
        <v>17</v>
      </c>
      <c r="C6" s="49"/>
      <c r="D6" s="386">
        <f>1098*0.7</f>
        <v>768.59999999999991</v>
      </c>
      <c r="E6" s="194">
        <v>0.5</v>
      </c>
      <c r="F6" s="385">
        <f>D6*E6</f>
        <v>384.29999999999995</v>
      </c>
      <c r="G6" s="194">
        <v>2</v>
      </c>
      <c r="H6" s="385">
        <f>F6*G6</f>
        <v>768.59999999999991</v>
      </c>
      <c r="I6" s="194">
        <f>'2021'!H6</f>
        <v>695.8</v>
      </c>
      <c r="J6" s="194">
        <f>H6-I6</f>
        <v>72.799999999999955</v>
      </c>
      <c r="K6" s="194">
        <v>0</v>
      </c>
      <c r="L6" s="194">
        <f>J6+K6</f>
        <v>72.799999999999955</v>
      </c>
      <c r="M6" s="343" t="s">
        <v>18</v>
      </c>
    </row>
    <row r="7" spans="1:13" ht="26.45" customHeight="1" x14ac:dyDescent="0.25">
      <c r="A7" s="53">
        <v>248.4</v>
      </c>
      <c r="B7" s="57" t="s">
        <v>19</v>
      </c>
      <c r="C7" s="346" t="s">
        <v>191</v>
      </c>
      <c r="D7" s="194">
        <v>51</v>
      </c>
      <c r="E7" s="194">
        <v>1</v>
      </c>
      <c r="F7" s="385">
        <f t="shared" ref="F7:F28" si="0">D7*E7</f>
        <v>51</v>
      </c>
      <c r="G7" s="194">
        <v>40</v>
      </c>
      <c r="H7" s="385">
        <f t="shared" ref="H7:H28" si="1">F7*G7</f>
        <v>2040</v>
      </c>
      <c r="I7" s="194">
        <f>'2021'!H7</f>
        <v>1960</v>
      </c>
      <c r="J7" s="194">
        <f>H7-I7</f>
        <v>80</v>
      </c>
      <c r="K7" s="194">
        <v>0</v>
      </c>
      <c r="L7" s="194">
        <f t="shared" ref="L7:L28" si="2">J7+K7</f>
        <v>80</v>
      </c>
      <c r="M7" s="343" t="s">
        <v>20</v>
      </c>
    </row>
    <row r="8" spans="1:13" ht="25.5" x14ac:dyDescent="0.25">
      <c r="A8" s="56" t="s">
        <v>21</v>
      </c>
      <c r="B8" s="57" t="s">
        <v>22</v>
      </c>
      <c r="C8" s="49"/>
      <c r="D8" s="194">
        <v>51</v>
      </c>
      <c r="E8" s="194">
        <f>1330746/51</f>
        <v>26093.058823529413</v>
      </c>
      <c r="F8" s="385">
        <f t="shared" si="0"/>
        <v>1330746</v>
      </c>
      <c r="G8" s="194">
        <v>0.25</v>
      </c>
      <c r="H8" s="385">
        <f t="shared" si="1"/>
        <v>332686.5</v>
      </c>
      <c r="I8" s="194">
        <f>'2021'!H8</f>
        <v>390118.75</v>
      </c>
      <c r="J8" s="194">
        <f>H8-I8</f>
        <v>-57432.25</v>
      </c>
      <c r="K8" s="194">
        <v>0</v>
      </c>
      <c r="L8" s="194">
        <f t="shared" si="2"/>
        <v>-57432.25</v>
      </c>
      <c r="M8" s="343" t="s">
        <v>63</v>
      </c>
    </row>
    <row r="9" spans="1:13" ht="51" x14ac:dyDescent="0.25">
      <c r="A9" s="318" t="s">
        <v>23</v>
      </c>
      <c r="B9" s="323" t="s">
        <v>24</v>
      </c>
      <c r="C9" s="324"/>
      <c r="D9" s="386">
        <v>51</v>
      </c>
      <c r="E9" s="386">
        <f>((19597/2)/51)</f>
        <v>192.12745098039215</v>
      </c>
      <c r="F9" s="385">
        <f t="shared" si="0"/>
        <v>9798.5</v>
      </c>
      <c r="G9" s="386">
        <v>0.25</v>
      </c>
      <c r="H9" s="385">
        <f t="shared" si="1"/>
        <v>2449.625</v>
      </c>
      <c r="I9" s="194">
        <f>'2021'!H9</f>
        <v>9942</v>
      </c>
      <c r="J9" s="194">
        <f>H9-I9</f>
        <v>-7492.375</v>
      </c>
      <c r="K9" s="194">
        <v>0</v>
      </c>
      <c r="L9" s="194">
        <f>J9+K9</f>
        <v>-7492.375</v>
      </c>
      <c r="M9" s="343" t="s">
        <v>192</v>
      </c>
    </row>
    <row r="10" spans="1:13" ht="26.45" customHeight="1" x14ac:dyDescent="0.25">
      <c r="A10" s="315" t="s">
        <v>25</v>
      </c>
      <c r="B10" s="325" t="s">
        <v>26</v>
      </c>
      <c r="C10" s="324"/>
      <c r="D10" s="386">
        <v>51</v>
      </c>
      <c r="E10" s="386">
        <v>1</v>
      </c>
      <c r="F10" s="385">
        <f t="shared" si="0"/>
        <v>51</v>
      </c>
      <c r="G10" s="386">
        <v>8</v>
      </c>
      <c r="H10" s="385">
        <f t="shared" si="1"/>
        <v>408</v>
      </c>
      <c r="I10" s="194">
        <f>'2021'!H10</f>
        <v>392</v>
      </c>
      <c r="J10" s="194">
        <f t="shared" ref="J10:J28" si="3">H10-I10</f>
        <v>16</v>
      </c>
      <c r="K10" s="194">
        <v>0</v>
      </c>
      <c r="L10" s="194">
        <f t="shared" si="2"/>
        <v>16</v>
      </c>
      <c r="M10" s="343" t="s">
        <v>20</v>
      </c>
    </row>
    <row r="11" spans="1:13" ht="26.45" customHeight="1" x14ac:dyDescent="0.25">
      <c r="A11" s="315" t="s">
        <v>25</v>
      </c>
      <c r="B11" s="323" t="s">
        <v>27</v>
      </c>
      <c r="C11" s="324"/>
      <c r="D11" s="386">
        <v>51</v>
      </c>
      <c r="E11" s="386">
        <v>15</v>
      </c>
      <c r="F11" s="385">
        <f t="shared" si="0"/>
        <v>765</v>
      </c>
      <c r="G11" s="386">
        <v>2</v>
      </c>
      <c r="H11" s="385">
        <f t="shared" si="1"/>
        <v>1530</v>
      </c>
      <c r="I11" s="194">
        <f>'2021'!H11</f>
        <v>1470</v>
      </c>
      <c r="J11" s="194">
        <f t="shared" si="3"/>
        <v>60</v>
      </c>
      <c r="K11" s="194">
        <v>0</v>
      </c>
      <c r="L11" s="194">
        <f t="shared" si="2"/>
        <v>60</v>
      </c>
      <c r="M11" s="343" t="s">
        <v>20</v>
      </c>
    </row>
    <row r="12" spans="1:13" ht="26.45" customHeight="1" x14ac:dyDescent="0.25">
      <c r="A12" s="315" t="s">
        <v>28</v>
      </c>
      <c r="B12" s="325" t="s">
        <v>29</v>
      </c>
      <c r="C12" s="324"/>
      <c r="D12" s="386">
        <v>5</v>
      </c>
      <c r="E12" s="386">
        <v>1</v>
      </c>
      <c r="F12" s="385">
        <f t="shared" si="0"/>
        <v>5</v>
      </c>
      <c r="G12" s="386">
        <v>8.3500000000000005E-2</v>
      </c>
      <c r="H12" s="385">
        <f t="shared" si="1"/>
        <v>0.41750000000000004</v>
      </c>
      <c r="I12" s="194">
        <f>'2021'!H12</f>
        <v>0.41750000000000004</v>
      </c>
      <c r="J12" s="194">
        <f t="shared" si="3"/>
        <v>0</v>
      </c>
      <c r="K12" s="194">
        <v>0</v>
      </c>
      <c r="L12" s="194">
        <f t="shared" si="2"/>
        <v>0</v>
      </c>
      <c r="M12" s="352" t="s">
        <v>30</v>
      </c>
    </row>
    <row r="13" spans="1:13" ht="26.45" customHeight="1" x14ac:dyDescent="0.25">
      <c r="A13" s="315" t="s">
        <v>31</v>
      </c>
      <c r="B13" s="325" t="s">
        <v>32</v>
      </c>
      <c r="C13" s="324"/>
      <c r="D13" s="386">
        <v>51</v>
      </c>
      <c r="E13" s="386">
        <v>1</v>
      </c>
      <c r="F13" s="385">
        <f t="shared" si="0"/>
        <v>51</v>
      </c>
      <c r="G13" s="386">
        <v>8</v>
      </c>
      <c r="H13" s="385">
        <f t="shared" si="1"/>
        <v>408</v>
      </c>
      <c r="I13" s="194">
        <f>'2021'!H13</f>
        <v>392</v>
      </c>
      <c r="J13" s="194">
        <f t="shared" si="3"/>
        <v>16</v>
      </c>
      <c r="K13" s="194">
        <v>0</v>
      </c>
      <c r="L13" s="194">
        <f t="shared" si="2"/>
        <v>16</v>
      </c>
      <c r="M13" s="343" t="s">
        <v>20</v>
      </c>
    </row>
    <row r="14" spans="1:13" ht="26.45" customHeight="1" x14ac:dyDescent="0.25">
      <c r="A14" s="315" t="s">
        <v>31</v>
      </c>
      <c r="B14" s="325" t="s">
        <v>33</v>
      </c>
      <c r="C14" s="324"/>
      <c r="D14" s="386">
        <v>51</v>
      </c>
      <c r="E14" s="386">
        <v>15</v>
      </c>
      <c r="F14" s="385">
        <f t="shared" si="0"/>
        <v>765</v>
      </c>
      <c r="G14" s="386">
        <v>2</v>
      </c>
      <c r="H14" s="385">
        <f t="shared" si="1"/>
        <v>1530</v>
      </c>
      <c r="I14" s="194">
        <f>'2021'!H14</f>
        <v>1470</v>
      </c>
      <c r="J14" s="194">
        <f t="shared" si="3"/>
        <v>60</v>
      </c>
      <c r="K14" s="194">
        <v>0</v>
      </c>
      <c r="L14" s="194">
        <f t="shared" si="2"/>
        <v>60</v>
      </c>
      <c r="M14" s="343" t="s">
        <v>20</v>
      </c>
    </row>
    <row r="15" spans="1:13" ht="25.5" x14ac:dyDescent="0.25">
      <c r="A15" s="315" t="s">
        <v>34</v>
      </c>
      <c r="B15" s="325" t="s">
        <v>35</v>
      </c>
      <c r="C15" s="326"/>
      <c r="D15" s="387">
        <v>51</v>
      </c>
      <c r="E15" s="387">
        <f>(19597*0.1)/51</f>
        <v>38.425490196078435</v>
      </c>
      <c r="F15" s="385">
        <f t="shared" si="0"/>
        <v>1959.7000000000003</v>
      </c>
      <c r="G15" s="387">
        <v>1.5</v>
      </c>
      <c r="H15" s="385">
        <f t="shared" si="1"/>
        <v>2939.55</v>
      </c>
      <c r="I15" s="194">
        <f>'2021'!H15</f>
        <v>2982.6</v>
      </c>
      <c r="J15" s="194">
        <f t="shared" si="3"/>
        <v>-43.049999999999727</v>
      </c>
      <c r="K15" s="194">
        <v>0</v>
      </c>
      <c r="L15" s="194">
        <f t="shared" si="2"/>
        <v>-43.049999999999727</v>
      </c>
      <c r="M15" s="343" t="s">
        <v>67</v>
      </c>
    </row>
    <row r="16" spans="1:13" ht="25.5" x14ac:dyDescent="0.25">
      <c r="A16" s="315" t="s">
        <v>36</v>
      </c>
      <c r="B16" s="325" t="s">
        <v>37</v>
      </c>
      <c r="C16" s="326"/>
      <c r="D16" s="387">
        <v>51</v>
      </c>
      <c r="E16" s="386">
        <f>(1098*0.5)/51</f>
        <v>10.764705882352942</v>
      </c>
      <c r="F16" s="385">
        <f>D16*E16</f>
        <v>549</v>
      </c>
      <c r="G16" s="387">
        <v>2</v>
      </c>
      <c r="H16" s="385">
        <f t="shared" si="1"/>
        <v>1098</v>
      </c>
      <c r="I16" s="194">
        <f>'2021'!H16</f>
        <v>994</v>
      </c>
      <c r="J16" s="194">
        <f t="shared" si="3"/>
        <v>104</v>
      </c>
      <c r="K16" s="194">
        <v>0</v>
      </c>
      <c r="L16" s="194">
        <f t="shared" si="2"/>
        <v>104</v>
      </c>
      <c r="M16" s="343" t="s">
        <v>18</v>
      </c>
    </row>
    <row r="17" spans="1:15" ht="26.45" customHeight="1" x14ac:dyDescent="0.25">
      <c r="A17" s="318" t="s">
        <v>38</v>
      </c>
      <c r="B17" s="327" t="s">
        <v>39</v>
      </c>
      <c r="C17" s="317"/>
      <c r="D17" s="194">
        <v>51</v>
      </c>
      <c r="E17" s="194">
        <v>1</v>
      </c>
      <c r="F17" s="385">
        <f t="shared" si="0"/>
        <v>51</v>
      </c>
      <c r="G17" s="386">
        <v>5</v>
      </c>
      <c r="H17" s="385">
        <f t="shared" si="1"/>
        <v>255</v>
      </c>
      <c r="I17" s="194">
        <f>'2021'!H17</f>
        <v>245</v>
      </c>
      <c r="J17" s="194">
        <f t="shared" si="3"/>
        <v>10</v>
      </c>
      <c r="K17" s="194">
        <v>0</v>
      </c>
      <c r="L17" s="194">
        <f t="shared" si="2"/>
        <v>10</v>
      </c>
      <c r="M17" s="343" t="s">
        <v>20</v>
      </c>
    </row>
    <row r="18" spans="1:15" x14ac:dyDescent="0.25">
      <c r="A18" s="348" t="s">
        <v>40</v>
      </c>
      <c r="B18" s="349" t="s">
        <v>41</v>
      </c>
      <c r="C18" s="350"/>
      <c r="D18" s="321"/>
      <c r="E18" s="321"/>
      <c r="F18" s="388"/>
      <c r="G18" s="389"/>
      <c r="H18" s="388">
        <f>SUM(H19:H20)</f>
        <v>115.5</v>
      </c>
      <c r="I18" s="321">
        <f>SUM(I19:I20)</f>
        <v>147</v>
      </c>
      <c r="J18" s="321">
        <f>SUM(J19:J20)</f>
        <v>6</v>
      </c>
      <c r="K18" s="321">
        <f>SUM(K19:K20)</f>
        <v>-37.5</v>
      </c>
      <c r="L18" s="321">
        <f>SUM(L19:L20)</f>
        <v>-31.5</v>
      </c>
      <c r="M18" s="447" t="s">
        <v>193</v>
      </c>
    </row>
    <row r="19" spans="1:15" ht="26.45" customHeight="1" x14ac:dyDescent="0.25">
      <c r="A19" s="351" t="s">
        <v>40</v>
      </c>
      <c r="B19" s="322" t="s">
        <v>42</v>
      </c>
      <c r="C19" s="317"/>
      <c r="D19" s="194">
        <f>51-25</f>
        <v>26</v>
      </c>
      <c r="E19" s="194">
        <v>1</v>
      </c>
      <c r="F19" s="385">
        <f t="shared" si="0"/>
        <v>26</v>
      </c>
      <c r="G19" s="386">
        <v>3</v>
      </c>
      <c r="H19" s="385">
        <f t="shared" si="1"/>
        <v>78</v>
      </c>
      <c r="I19" s="194">
        <v>147</v>
      </c>
      <c r="J19" s="194">
        <v>6</v>
      </c>
      <c r="K19" s="194">
        <f>H19-I19-J19</f>
        <v>-75</v>
      </c>
      <c r="L19" s="194">
        <f t="shared" si="2"/>
        <v>-69</v>
      </c>
      <c r="M19" s="448"/>
      <c r="O19" s="374"/>
    </row>
    <row r="20" spans="1:15" ht="26.45" customHeight="1" x14ac:dyDescent="0.25">
      <c r="A20" s="351" t="s">
        <v>40</v>
      </c>
      <c r="B20" s="322" t="s">
        <v>43</v>
      </c>
      <c r="C20" s="317"/>
      <c r="D20" s="194">
        <v>25</v>
      </c>
      <c r="E20" s="194">
        <v>1</v>
      </c>
      <c r="F20" s="385">
        <f t="shared" si="0"/>
        <v>25</v>
      </c>
      <c r="G20" s="386">
        <v>1.5</v>
      </c>
      <c r="H20" s="385">
        <f t="shared" si="1"/>
        <v>37.5</v>
      </c>
      <c r="I20" s="194">
        <v>0</v>
      </c>
      <c r="J20" s="194">
        <v>0</v>
      </c>
      <c r="K20" s="194">
        <f>H20-I20-J20</f>
        <v>37.5</v>
      </c>
      <c r="L20" s="194">
        <f t="shared" si="2"/>
        <v>37.5</v>
      </c>
      <c r="M20" s="449"/>
    </row>
    <row r="21" spans="1:15" ht="25.5" x14ac:dyDescent="0.25">
      <c r="A21" s="315" t="s">
        <v>44</v>
      </c>
      <c r="B21" s="325" t="s">
        <v>45</v>
      </c>
      <c r="C21" s="317"/>
      <c r="D21" s="194">
        <v>51</v>
      </c>
      <c r="E21" s="386">
        <f>493/51</f>
        <v>9.6666666666666661</v>
      </c>
      <c r="F21" s="385">
        <f>D21*E21</f>
        <v>492.99999999999994</v>
      </c>
      <c r="G21" s="194">
        <v>1</v>
      </c>
      <c r="H21" s="385">
        <f>F21*G21</f>
        <v>492.99999999999994</v>
      </c>
      <c r="I21" s="194">
        <f>'2021'!H19</f>
        <v>500</v>
      </c>
      <c r="J21" s="194">
        <f t="shared" si="3"/>
        <v>-7.0000000000000568</v>
      </c>
      <c r="K21" s="194">
        <v>0</v>
      </c>
      <c r="L21" s="194">
        <f t="shared" si="2"/>
        <v>-7.0000000000000568</v>
      </c>
      <c r="M21" s="343" t="s">
        <v>67</v>
      </c>
    </row>
    <row r="22" spans="1:15" ht="25.5" x14ac:dyDescent="0.25">
      <c r="A22" s="315" t="s">
        <v>46</v>
      </c>
      <c r="B22" s="316" t="s">
        <v>47</v>
      </c>
      <c r="C22" s="317"/>
      <c r="D22" s="194">
        <v>51</v>
      </c>
      <c r="E22" s="194">
        <f>(19597*0.02)/51</f>
        <v>7.6850980392156858</v>
      </c>
      <c r="F22" s="385">
        <f>D22*E22</f>
        <v>391.94</v>
      </c>
      <c r="G22" s="194">
        <v>8.3500000000000005E-2</v>
      </c>
      <c r="H22" s="385">
        <f>F22*G22</f>
        <v>32.726990000000001</v>
      </c>
      <c r="I22" s="194">
        <f>'2021'!H20</f>
        <v>33.20628</v>
      </c>
      <c r="J22" s="194">
        <f t="shared" si="3"/>
        <v>-0.47928999999999888</v>
      </c>
      <c r="K22" s="194">
        <v>0</v>
      </c>
      <c r="L22" s="194">
        <f t="shared" si="2"/>
        <v>-0.47928999999999888</v>
      </c>
      <c r="M22" s="343" t="s">
        <v>67</v>
      </c>
    </row>
    <row r="23" spans="1:15" ht="26.45" customHeight="1" x14ac:dyDescent="0.25">
      <c r="A23" s="318" t="s">
        <v>48</v>
      </c>
      <c r="B23" s="319" t="s">
        <v>49</v>
      </c>
      <c r="C23" s="320"/>
      <c r="D23" s="194">
        <v>51</v>
      </c>
      <c r="E23" s="194">
        <v>1</v>
      </c>
      <c r="F23" s="385">
        <f t="shared" si="0"/>
        <v>51</v>
      </c>
      <c r="G23" s="194">
        <v>10</v>
      </c>
      <c r="H23" s="385">
        <f t="shared" si="1"/>
        <v>510</v>
      </c>
      <c r="I23" s="194">
        <f>'2021'!H21</f>
        <v>490</v>
      </c>
      <c r="J23" s="194">
        <f t="shared" si="3"/>
        <v>20</v>
      </c>
      <c r="K23" s="194">
        <v>0</v>
      </c>
      <c r="L23" s="194">
        <f t="shared" si="2"/>
        <v>20</v>
      </c>
      <c r="M23" s="343" t="s">
        <v>20</v>
      </c>
    </row>
    <row r="24" spans="1:15" ht="38.25" x14ac:dyDescent="0.25">
      <c r="A24" s="318" t="s">
        <v>50</v>
      </c>
      <c r="B24" s="323" t="s">
        <v>51</v>
      </c>
      <c r="C24" s="320"/>
      <c r="D24" s="194">
        <v>5</v>
      </c>
      <c r="E24" s="194">
        <v>1</v>
      </c>
      <c r="F24" s="385">
        <f t="shared" si="0"/>
        <v>5</v>
      </c>
      <c r="G24" s="194">
        <v>40</v>
      </c>
      <c r="H24" s="385">
        <f t="shared" si="1"/>
        <v>200</v>
      </c>
      <c r="I24" s="194">
        <v>0</v>
      </c>
      <c r="J24" s="194">
        <v>0</v>
      </c>
      <c r="K24" s="194">
        <f>H24-I24</f>
        <v>200</v>
      </c>
      <c r="L24" s="194">
        <f t="shared" si="2"/>
        <v>200</v>
      </c>
      <c r="M24" s="343" t="s">
        <v>52</v>
      </c>
    </row>
    <row r="25" spans="1:15" ht="26.45" customHeight="1" x14ac:dyDescent="0.25">
      <c r="A25" s="318" t="s">
        <v>53</v>
      </c>
      <c r="B25" s="328" t="s">
        <v>54</v>
      </c>
      <c r="C25" s="327"/>
      <c r="D25" s="194">
        <v>1</v>
      </c>
      <c r="E25" s="194">
        <v>1</v>
      </c>
      <c r="F25" s="385">
        <f>D25*E25</f>
        <v>1</v>
      </c>
      <c r="G25" s="194">
        <v>24</v>
      </c>
      <c r="H25" s="385">
        <f t="shared" si="1"/>
        <v>24</v>
      </c>
      <c r="I25" s="194">
        <f>'2021'!H22</f>
        <v>24</v>
      </c>
      <c r="J25" s="194">
        <f t="shared" si="3"/>
        <v>0</v>
      </c>
      <c r="K25" s="194">
        <v>0</v>
      </c>
      <c r="L25" s="194">
        <f>J25+K25</f>
        <v>0</v>
      </c>
      <c r="M25" s="343" t="s">
        <v>30</v>
      </c>
    </row>
    <row r="26" spans="1:15" ht="26.45" customHeight="1" x14ac:dyDescent="0.25">
      <c r="A26" s="318" t="s">
        <v>55</v>
      </c>
      <c r="B26" s="327" t="s">
        <v>56</v>
      </c>
      <c r="C26" s="327"/>
      <c r="D26" s="194">
        <v>7</v>
      </c>
      <c r="E26" s="194">
        <v>1</v>
      </c>
      <c r="F26" s="385">
        <f t="shared" si="0"/>
        <v>7</v>
      </c>
      <c r="G26" s="194">
        <v>10</v>
      </c>
      <c r="H26" s="385">
        <f t="shared" si="1"/>
        <v>70</v>
      </c>
      <c r="I26" s="194">
        <f>'2021'!H23</f>
        <v>70</v>
      </c>
      <c r="J26" s="194">
        <f t="shared" si="3"/>
        <v>0</v>
      </c>
      <c r="K26" s="194">
        <v>0</v>
      </c>
      <c r="L26" s="194">
        <f t="shared" si="2"/>
        <v>0</v>
      </c>
      <c r="M26" s="343" t="s">
        <v>30</v>
      </c>
    </row>
    <row r="27" spans="1:15" ht="26.45" customHeight="1" x14ac:dyDescent="0.25">
      <c r="A27" s="318" t="s">
        <v>57</v>
      </c>
      <c r="B27" s="328" t="s">
        <v>58</v>
      </c>
      <c r="C27" s="327"/>
      <c r="D27" s="194">
        <v>2</v>
      </c>
      <c r="E27" s="194">
        <v>1</v>
      </c>
      <c r="F27" s="385">
        <f t="shared" si="0"/>
        <v>2</v>
      </c>
      <c r="G27" s="194">
        <v>10</v>
      </c>
      <c r="H27" s="385">
        <f t="shared" si="1"/>
        <v>20</v>
      </c>
      <c r="I27" s="194">
        <f>'2021'!H24</f>
        <v>20</v>
      </c>
      <c r="J27" s="194">
        <f t="shared" si="3"/>
        <v>0</v>
      </c>
      <c r="K27" s="194">
        <v>0</v>
      </c>
      <c r="L27" s="194">
        <f t="shared" si="2"/>
        <v>0</v>
      </c>
      <c r="M27" s="343" t="s">
        <v>30</v>
      </c>
    </row>
    <row r="28" spans="1:15" s="1" customFormat="1" ht="26.45" customHeight="1" x14ac:dyDescent="0.25">
      <c r="A28" s="318" t="s">
        <v>59</v>
      </c>
      <c r="B28" s="327" t="s">
        <v>60</v>
      </c>
      <c r="C28" s="317"/>
      <c r="D28" s="194">
        <v>1</v>
      </c>
      <c r="E28" s="194">
        <v>1</v>
      </c>
      <c r="F28" s="385">
        <f t="shared" si="0"/>
        <v>1</v>
      </c>
      <c r="G28" s="194">
        <v>15</v>
      </c>
      <c r="H28" s="385">
        <f t="shared" si="1"/>
        <v>15</v>
      </c>
      <c r="I28" s="194">
        <f>'2021'!H25</f>
        <v>15</v>
      </c>
      <c r="J28" s="194">
        <f t="shared" si="3"/>
        <v>0</v>
      </c>
      <c r="K28" s="194">
        <v>0</v>
      </c>
      <c r="L28" s="194">
        <f t="shared" si="2"/>
        <v>0</v>
      </c>
      <c r="M28" s="343" t="s">
        <v>30</v>
      </c>
    </row>
    <row r="29" spans="1:15" ht="26.1" customHeight="1" x14ac:dyDescent="0.25">
      <c r="A29" s="424" t="s">
        <v>61</v>
      </c>
      <c r="B29" s="425"/>
      <c r="C29" s="353"/>
      <c r="D29" s="354">
        <f>51+D6</f>
        <v>819.59999999999991</v>
      </c>
      <c r="E29" s="354">
        <f>+F29/D29</f>
        <v>1642.4834553440703</v>
      </c>
      <c r="F29" s="354">
        <f>SUM(F6:F17,F19:F28)</f>
        <v>1346179.44</v>
      </c>
      <c r="G29" s="354">
        <f>+H29/F29</f>
        <v>0.25820771671419968</v>
      </c>
      <c r="H29" s="354">
        <f>SUM(H6:H17, H19:H28)</f>
        <v>347593.91948999994</v>
      </c>
      <c r="I29" s="354">
        <f>SUM(I6:I17, I19:I28)</f>
        <v>411961.77377999993</v>
      </c>
      <c r="J29" s="354">
        <f>SUM(J6:J17, J19:J28)</f>
        <v>-64530.354290000003</v>
      </c>
      <c r="K29" s="354">
        <f>SUM(K6:K17, K19:K28)</f>
        <v>162.5</v>
      </c>
      <c r="L29" s="354">
        <f>SUM(L6:L17, L19:L28)</f>
        <v>-64367.854290000003</v>
      </c>
      <c r="M29" s="355"/>
      <c r="O29" s="375"/>
    </row>
    <row r="30" spans="1:15" x14ac:dyDescent="0.25">
      <c r="A30" s="438" t="s">
        <v>62</v>
      </c>
      <c r="B30" s="439"/>
      <c r="C30" s="439"/>
      <c r="D30" s="439"/>
      <c r="E30" s="439"/>
      <c r="F30" s="439"/>
      <c r="G30" s="439"/>
      <c r="H30" s="439"/>
      <c r="I30" s="439"/>
      <c r="J30" s="439"/>
      <c r="K30" s="439"/>
      <c r="L30" s="439"/>
      <c r="M30" s="440"/>
      <c r="O30" s="375"/>
    </row>
    <row r="31" spans="1:15" ht="26.45" customHeight="1" x14ac:dyDescent="0.25">
      <c r="A31" s="329" t="s">
        <v>21</v>
      </c>
      <c r="B31" s="316" t="s">
        <v>22</v>
      </c>
      <c r="C31" s="319"/>
      <c r="D31" s="194">
        <v>1330746</v>
      </c>
      <c r="E31" s="194">
        <v>1</v>
      </c>
      <c r="F31" s="385">
        <f>D31*E31</f>
        <v>1330746</v>
      </c>
      <c r="G31" s="194">
        <v>5.0099999999999999E-2</v>
      </c>
      <c r="H31" s="385">
        <f>F31*G31</f>
        <v>66670.374599999996</v>
      </c>
      <c r="I31" s="194">
        <f>'2021'!H28</f>
        <v>78179.797500000001</v>
      </c>
      <c r="J31" s="330">
        <f>H31-I31</f>
        <v>-11509.422900000005</v>
      </c>
      <c r="K31" s="194">
        <v>0</v>
      </c>
      <c r="L31" s="166">
        <f>J31+K31</f>
        <v>-11509.422900000005</v>
      </c>
      <c r="M31" s="331" t="s">
        <v>63</v>
      </c>
    </row>
    <row r="32" spans="1:15" ht="26.45" customHeight="1" x14ac:dyDescent="0.25">
      <c r="A32" s="424" t="s">
        <v>64</v>
      </c>
      <c r="B32" s="425"/>
      <c r="C32" s="355"/>
      <c r="D32" s="354">
        <f>D31</f>
        <v>1330746</v>
      </c>
      <c r="E32" s="354">
        <f>+F32/D32</f>
        <v>1</v>
      </c>
      <c r="F32" s="354">
        <f>F31</f>
        <v>1330746</v>
      </c>
      <c r="G32" s="354">
        <f>+H32/F32</f>
        <v>5.0099999999999999E-2</v>
      </c>
      <c r="H32" s="354">
        <f>H31</f>
        <v>66670.374599999996</v>
      </c>
      <c r="I32" s="354">
        <f>I31</f>
        <v>78179.797500000001</v>
      </c>
      <c r="J32" s="354">
        <f>J31</f>
        <v>-11509.422900000005</v>
      </c>
      <c r="K32" s="354">
        <f>K31</f>
        <v>0</v>
      </c>
      <c r="L32" s="356">
        <f>J32+K32</f>
        <v>-11509.422900000005</v>
      </c>
      <c r="M32" s="355"/>
    </row>
    <row r="33" spans="1:98" x14ac:dyDescent="0.25">
      <c r="A33" s="426" t="s">
        <v>65</v>
      </c>
      <c r="B33" s="427"/>
      <c r="C33" s="427"/>
      <c r="D33" s="427"/>
      <c r="E33" s="427"/>
      <c r="F33" s="427"/>
      <c r="G33" s="427"/>
      <c r="H33" s="427"/>
      <c r="I33" s="427"/>
      <c r="J33" s="427"/>
      <c r="K33" s="427"/>
      <c r="L33" s="427"/>
      <c r="M33" s="428"/>
    </row>
    <row r="34" spans="1:98" ht="26.1" customHeight="1" x14ac:dyDescent="0.25">
      <c r="A34" s="357" t="s">
        <v>16</v>
      </c>
      <c r="B34" s="332" t="s">
        <v>66</v>
      </c>
      <c r="C34" s="333"/>
      <c r="D34" s="393">
        <f>1098*0.3</f>
        <v>329.4</v>
      </c>
      <c r="E34" s="390">
        <v>0.5</v>
      </c>
      <c r="F34" s="395">
        <f t="shared" ref="F34:F41" si="4">D34*E34</f>
        <v>164.7</v>
      </c>
      <c r="G34" s="390">
        <v>2</v>
      </c>
      <c r="H34" s="395">
        <f t="shared" ref="H34:H41" si="5">F34*G34</f>
        <v>329.4</v>
      </c>
      <c r="I34" s="201">
        <f>'2021'!H31</f>
        <v>298.2</v>
      </c>
      <c r="J34" s="330">
        <f>H34-I34</f>
        <v>31.199999999999989</v>
      </c>
      <c r="K34" s="396">
        <v>0</v>
      </c>
      <c r="L34" s="168">
        <f>J34+K34</f>
        <v>31.199999999999989</v>
      </c>
      <c r="M34" s="367" t="s">
        <v>18</v>
      </c>
    </row>
    <row r="35" spans="1:98" ht="26.1" customHeight="1" x14ac:dyDescent="0.25">
      <c r="A35" s="334" t="s">
        <v>25</v>
      </c>
      <c r="B35" s="338" t="s">
        <v>27</v>
      </c>
      <c r="C35" s="335"/>
      <c r="D35" s="391">
        <f>19597*0.1</f>
        <v>1959.7</v>
      </c>
      <c r="E35" s="391">
        <v>1</v>
      </c>
      <c r="F35" s="395">
        <f t="shared" si="4"/>
        <v>1959.7</v>
      </c>
      <c r="G35" s="391">
        <v>2</v>
      </c>
      <c r="H35" s="397">
        <f t="shared" si="5"/>
        <v>3919.4</v>
      </c>
      <c r="I35" s="201">
        <f>'2021'!H32</f>
        <v>3976.8</v>
      </c>
      <c r="J35" s="330">
        <f t="shared" ref="J35:J38" si="6">H35-I35</f>
        <v>-57.400000000000091</v>
      </c>
      <c r="K35" s="396">
        <v>0</v>
      </c>
      <c r="L35" s="168">
        <f t="shared" ref="L35:L42" si="7">J35+K35</f>
        <v>-57.400000000000091</v>
      </c>
      <c r="M35" s="358" t="s">
        <v>67</v>
      </c>
    </row>
    <row r="36" spans="1:98" s="1" customFormat="1" ht="26.1" customHeight="1" x14ac:dyDescent="0.25">
      <c r="A36" s="337" t="s">
        <v>70</v>
      </c>
      <c r="B36" s="338" t="s">
        <v>71</v>
      </c>
      <c r="C36" s="339"/>
      <c r="D36" s="392">
        <f>19597/2</f>
        <v>9798.5</v>
      </c>
      <c r="E36" s="398">
        <v>1</v>
      </c>
      <c r="F36" s="395">
        <f t="shared" si="4"/>
        <v>9798.5</v>
      </c>
      <c r="G36" s="392">
        <v>8.3500000000000005E-2</v>
      </c>
      <c r="H36" s="399">
        <f t="shared" si="5"/>
        <v>818.17475000000002</v>
      </c>
      <c r="I36" s="201">
        <f>'2021'!H34</f>
        <v>830.15700000000004</v>
      </c>
      <c r="J36" s="330">
        <f t="shared" si="6"/>
        <v>-11.982250000000022</v>
      </c>
      <c r="K36" s="396">
        <v>0</v>
      </c>
      <c r="L36" s="168">
        <f t="shared" si="7"/>
        <v>-11.982250000000022</v>
      </c>
      <c r="M36" s="359" t="s">
        <v>67</v>
      </c>
    </row>
    <row r="37" spans="1:98" s="1" customFormat="1" ht="26.1" customHeight="1" x14ac:dyDescent="0.25">
      <c r="A37" s="340" t="s">
        <v>28</v>
      </c>
      <c r="B37" s="341" t="s">
        <v>72</v>
      </c>
      <c r="C37" s="342"/>
      <c r="D37" s="390">
        <f>19597*0.02*0.02</f>
        <v>7.8388</v>
      </c>
      <c r="E37" s="393">
        <v>1</v>
      </c>
      <c r="F37" s="395">
        <f t="shared" si="4"/>
        <v>7.8388</v>
      </c>
      <c r="G37" s="393">
        <v>2</v>
      </c>
      <c r="H37" s="395">
        <f t="shared" si="5"/>
        <v>15.6776</v>
      </c>
      <c r="I37" s="201">
        <f>'2021'!H35</f>
        <v>15.907200000000001</v>
      </c>
      <c r="J37" s="330">
        <f t="shared" si="6"/>
        <v>-0.22960000000000136</v>
      </c>
      <c r="K37" s="396">
        <v>0</v>
      </c>
      <c r="L37" s="168">
        <f t="shared" si="7"/>
        <v>-0.22960000000000136</v>
      </c>
      <c r="M37" s="358" t="s">
        <v>67</v>
      </c>
    </row>
    <row r="38" spans="1:98" s="170" customFormat="1" ht="26.1" customHeight="1" x14ac:dyDescent="0.25">
      <c r="A38" s="315" t="s">
        <v>31</v>
      </c>
      <c r="B38" s="325" t="s">
        <v>33</v>
      </c>
      <c r="C38" s="333"/>
      <c r="D38" s="390">
        <f>19597*0.9</f>
        <v>17637.3</v>
      </c>
      <c r="E38" s="393">
        <v>1</v>
      </c>
      <c r="F38" s="395">
        <f t="shared" si="4"/>
        <v>17637.3</v>
      </c>
      <c r="G38" s="393">
        <v>2</v>
      </c>
      <c r="H38" s="395">
        <f t="shared" si="5"/>
        <v>35274.6</v>
      </c>
      <c r="I38" s="201">
        <f>'2021'!H36</f>
        <v>35791.200000000004</v>
      </c>
      <c r="J38" s="330">
        <f t="shared" si="6"/>
        <v>-516.60000000000582</v>
      </c>
      <c r="K38" s="396">
        <v>0</v>
      </c>
      <c r="L38" s="168">
        <f t="shared" si="7"/>
        <v>-516.60000000000582</v>
      </c>
      <c r="M38" s="358" t="s">
        <v>67</v>
      </c>
      <c r="N38" s="1"/>
      <c r="O38" s="1"/>
      <c r="P38" s="1"/>
      <c r="Q38" s="1"/>
      <c r="R38" s="1"/>
      <c r="S38" s="1"/>
      <c r="T38" s="1"/>
      <c r="U38" s="1"/>
      <c r="V38" s="177"/>
      <c r="W38" s="177"/>
      <c r="X38" s="177"/>
      <c r="Y38" s="177"/>
      <c r="Z38" s="177"/>
      <c r="AA38" s="17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77"/>
      <c r="BB38" s="177"/>
      <c r="BC38" s="177"/>
      <c r="BD38" s="177"/>
      <c r="BE38" s="177"/>
      <c r="BF38" s="177"/>
      <c r="BG38" s="177"/>
      <c r="BH38" s="177"/>
      <c r="BI38" s="177"/>
      <c r="BJ38" s="177"/>
      <c r="BK38" s="177"/>
      <c r="BL38" s="177"/>
      <c r="BM38" s="177"/>
      <c r="BN38" s="177"/>
      <c r="BO38" s="177"/>
      <c r="BP38" s="177"/>
      <c r="BQ38" s="177"/>
      <c r="BR38" s="177"/>
      <c r="BS38" s="177"/>
      <c r="BT38" s="177"/>
      <c r="BU38" s="177"/>
      <c r="BV38" s="177"/>
      <c r="BW38" s="177"/>
      <c r="BX38" s="177"/>
      <c r="BY38" s="177"/>
      <c r="BZ38" s="177"/>
      <c r="CA38" s="177"/>
      <c r="CB38" s="177"/>
      <c r="CC38" s="177"/>
      <c r="CD38" s="177"/>
      <c r="CE38" s="177"/>
      <c r="CF38" s="177"/>
      <c r="CG38" s="177"/>
      <c r="CH38" s="177"/>
      <c r="CI38" s="177"/>
      <c r="CJ38" s="177"/>
      <c r="CK38" s="177"/>
      <c r="CL38" s="177"/>
      <c r="CM38" s="177"/>
      <c r="CN38" s="177"/>
      <c r="CO38" s="177"/>
      <c r="CP38" s="177"/>
      <c r="CQ38" s="177"/>
      <c r="CR38" s="177"/>
      <c r="CS38" s="177"/>
      <c r="CT38" s="177"/>
    </row>
    <row r="39" spans="1:98" x14ac:dyDescent="0.25">
      <c r="A39" s="363" t="s">
        <v>73</v>
      </c>
      <c r="B39" s="364" t="s">
        <v>74</v>
      </c>
      <c r="C39" s="365"/>
      <c r="D39" s="394"/>
      <c r="E39" s="394"/>
      <c r="F39" s="400"/>
      <c r="G39" s="394"/>
      <c r="H39" s="400">
        <f>SUM(H40:H42)</f>
        <v>384639.15686274506</v>
      </c>
      <c r="I39" s="401">
        <f>SUM(I40:I42)</f>
        <v>715824</v>
      </c>
      <c r="J39" s="344">
        <f>SUM(J40:J42)</f>
        <v>-10332</v>
      </c>
      <c r="K39" s="344">
        <f>SUM(K40:K42)</f>
        <v>-320852.84313725494</v>
      </c>
      <c r="L39" s="344">
        <f>SUM(L40:L42)</f>
        <v>-331184.84313725494</v>
      </c>
      <c r="M39" s="435" t="s">
        <v>194</v>
      </c>
    </row>
    <row r="40" spans="1:98" ht="26.1" customHeight="1" x14ac:dyDescent="0.25">
      <c r="A40" s="366" t="s">
        <v>73</v>
      </c>
      <c r="B40" s="370" t="s">
        <v>75</v>
      </c>
      <c r="C40" s="343"/>
      <c r="D40" s="393">
        <f>19597*((26+1)/51)</f>
        <v>10374.882352941177</v>
      </c>
      <c r="E40" s="393">
        <v>9</v>
      </c>
      <c r="F40" s="395">
        <f t="shared" si="4"/>
        <v>93373.941176470587</v>
      </c>
      <c r="G40" s="393">
        <v>4</v>
      </c>
      <c r="H40" s="395">
        <f t="shared" si="5"/>
        <v>373495.76470588235</v>
      </c>
      <c r="I40" s="201">
        <v>715824</v>
      </c>
      <c r="J40" s="330">
        <f>(19597-19884)*9*4</f>
        <v>-10332</v>
      </c>
      <c r="K40" s="396">
        <f>H40-I40-J40</f>
        <v>-331996.23529411765</v>
      </c>
      <c r="L40" s="168">
        <f t="shared" si="7"/>
        <v>-342328.23529411765</v>
      </c>
      <c r="M40" s="436"/>
      <c r="O40" s="376"/>
    </row>
    <row r="41" spans="1:98" ht="26.1" customHeight="1" x14ac:dyDescent="0.25">
      <c r="A41" s="366" t="s">
        <v>73</v>
      </c>
      <c r="B41" s="370" t="s">
        <v>76</v>
      </c>
      <c r="C41" s="343"/>
      <c r="D41" s="393">
        <f>19597*(2/51)</f>
        <v>768.50980392156862</v>
      </c>
      <c r="E41" s="393">
        <v>9</v>
      </c>
      <c r="F41" s="395">
        <f t="shared" si="4"/>
        <v>6916.5882352941171</v>
      </c>
      <c r="G41" s="393">
        <v>1</v>
      </c>
      <c r="H41" s="395">
        <f t="shared" si="5"/>
        <v>6916.5882352941171</v>
      </c>
      <c r="I41" s="201">
        <v>0</v>
      </c>
      <c r="J41" s="330">
        <v>0</v>
      </c>
      <c r="K41" s="396">
        <f t="shared" ref="K41:K42" si="8">H41-I41-J41</f>
        <v>6916.5882352941171</v>
      </c>
      <c r="L41" s="168">
        <f t="shared" si="7"/>
        <v>6916.5882352941171</v>
      </c>
      <c r="M41" s="436"/>
      <c r="O41" s="377"/>
      <c r="Q41" s="375"/>
      <c r="S41" s="378"/>
      <c r="T41" s="379"/>
    </row>
    <row r="42" spans="1:98" ht="26.1" customHeight="1" x14ac:dyDescent="0.25">
      <c r="A42" s="366" t="s">
        <v>73</v>
      </c>
      <c r="B42" s="370" t="s">
        <v>77</v>
      </c>
      <c r="C42" s="343"/>
      <c r="D42" s="393">
        <f>19597*(22/51)</f>
        <v>8453.6078431372553</v>
      </c>
      <c r="E42" s="393">
        <v>1</v>
      </c>
      <c r="F42" s="395">
        <f>D42*E42</f>
        <v>8453.6078431372553</v>
      </c>
      <c r="G42" s="393">
        <v>0.5</v>
      </c>
      <c r="H42" s="395">
        <f>F42*G42</f>
        <v>4226.8039215686276</v>
      </c>
      <c r="I42" s="201">
        <v>0</v>
      </c>
      <c r="J42" s="330">
        <v>0</v>
      </c>
      <c r="K42" s="396">
        <f t="shared" si="8"/>
        <v>4226.8039215686276</v>
      </c>
      <c r="L42" s="168">
        <f t="shared" si="7"/>
        <v>4226.8039215686276</v>
      </c>
      <c r="M42" s="437"/>
      <c r="Q42" s="376"/>
      <c r="S42" s="378"/>
      <c r="T42" s="379"/>
    </row>
    <row r="43" spans="1:98" s="1" customFormat="1" ht="26.1" customHeight="1" x14ac:dyDescent="0.25">
      <c r="A43" s="336" t="s">
        <v>44</v>
      </c>
      <c r="B43" s="371" t="s">
        <v>69</v>
      </c>
      <c r="C43" s="335"/>
      <c r="D43" s="402">
        <v>493</v>
      </c>
      <c r="E43" s="391">
        <v>1</v>
      </c>
      <c r="F43" s="395">
        <f>D43*E43</f>
        <v>493</v>
      </c>
      <c r="G43" s="391">
        <v>0.5</v>
      </c>
      <c r="H43" s="397">
        <f>F43*G43</f>
        <v>246.5</v>
      </c>
      <c r="I43" s="201">
        <f>'2021'!H33</f>
        <v>250</v>
      </c>
      <c r="J43" s="330">
        <f>H43-I43</f>
        <v>-3.5</v>
      </c>
      <c r="K43" s="396">
        <v>0</v>
      </c>
      <c r="L43" s="168">
        <f>J43+K43</f>
        <v>-3.5</v>
      </c>
      <c r="M43" s="358" t="s">
        <v>67</v>
      </c>
      <c r="P43"/>
      <c r="Q43" s="377"/>
      <c r="R43"/>
      <c r="S43" s="378"/>
      <c r="T43" s="379"/>
    </row>
    <row r="44" spans="1:98" ht="26.1" customHeight="1" x14ac:dyDescent="0.25">
      <c r="A44" s="424" t="s">
        <v>78</v>
      </c>
      <c r="B44" s="425"/>
      <c r="C44" s="355"/>
      <c r="D44" s="354">
        <f>19597+D34</f>
        <v>19926.400000000001</v>
      </c>
      <c r="E44" s="354">
        <f>+F44/D44</f>
        <v>6.9658932900524899</v>
      </c>
      <c r="F44" s="354">
        <f>SUM(F34:F38,F40:F43)</f>
        <v>138805.17605490194</v>
      </c>
      <c r="G44" s="354">
        <f>+H44/F44</f>
        <v>3.0635954745992162</v>
      </c>
      <c r="H44" s="354">
        <f>SUM(H34:H38,H40:H43)</f>
        <v>425242.90921274509</v>
      </c>
      <c r="I44" s="354">
        <f>SUM(I34:I38,I40:I43)</f>
        <v>756986.26419999998</v>
      </c>
      <c r="J44" s="354">
        <f>SUM(J34:J38,J40:J43)</f>
        <v>-10890.511850000006</v>
      </c>
      <c r="K44" s="354">
        <f>SUM(K34:K38,K40:K43)</f>
        <v>-320852.84313725494</v>
      </c>
      <c r="L44" s="354">
        <f>SUM(L34:L38,L40:L43)</f>
        <v>-331743.35498725495</v>
      </c>
      <c r="M44" s="360"/>
      <c r="Q44" s="375"/>
      <c r="S44" s="378"/>
      <c r="T44" s="379"/>
    </row>
    <row r="45" spans="1:98" ht="26.1" customHeight="1" x14ac:dyDescent="0.25">
      <c r="A45" s="422" t="s">
        <v>79</v>
      </c>
      <c r="B45" s="423"/>
      <c r="C45" s="361"/>
      <c r="D45" s="403">
        <f>SUM(D29+D32+D44)</f>
        <v>1351492</v>
      </c>
      <c r="E45" s="403">
        <f>F45/D45</f>
        <v>2.0834238131301568</v>
      </c>
      <c r="F45" s="403">
        <f>SUM(F29+F32+F44)</f>
        <v>2815730.6160549019</v>
      </c>
      <c r="G45" s="403">
        <f>+H45/F45</f>
        <v>0.29814897721962197</v>
      </c>
      <c r="H45" s="403">
        <f>SUM(H29+H32+H44)</f>
        <v>839507.20330274501</v>
      </c>
      <c r="I45" s="403">
        <f>SUM(I29+I32+I44)</f>
        <v>1247127.8354799999</v>
      </c>
      <c r="J45" s="403">
        <f>SUM(J29+J32+J44)</f>
        <v>-86930.289040000018</v>
      </c>
      <c r="K45" s="403">
        <f>SUM(K44+K32+K29)</f>
        <v>-320690.34313725494</v>
      </c>
      <c r="L45" s="403">
        <f>L44+L32+L29</f>
        <v>-407620.63217725494</v>
      </c>
      <c r="M45" s="362"/>
      <c r="T45" s="379"/>
    </row>
    <row r="46" spans="1:98" ht="14.45" customHeight="1" x14ac:dyDescent="0.25">
      <c r="A46" s="429" t="s">
        <v>80</v>
      </c>
      <c r="B46" s="430"/>
      <c r="C46" s="430"/>
      <c r="D46" s="430"/>
      <c r="E46" s="430"/>
      <c r="F46" s="430"/>
      <c r="G46" s="430"/>
      <c r="H46" s="430"/>
      <c r="I46" s="430"/>
      <c r="J46" s="430"/>
      <c r="K46" s="430"/>
      <c r="L46" s="430"/>
      <c r="M46" s="431"/>
    </row>
    <row r="47" spans="1:98" x14ac:dyDescent="0.25">
      <c r="A47" s="432" t="s">
        <v>81</v>
      </c>
      <c r="B47" s="433"/>
      <c r="C47" s="433"/>
      <c r="D47" s="433"/>
      <c r="E47" s="433"/>
      <c r="F47" s="433"/>
      <c r="G47" s="433"/>
      <c r="H47" s="433"/>
      <c r="I47" s="433"/>
      <c r="J47" s="433"/>
      <c r="K47" s="433"/>
      <c r="L47" s="433"/>
      <c r="M47" s="434"/>
      <c r="O47" s="375"/>
      <c r="P47" s="380"/>
    </row>
    <row r="48" spans="1:98" ht="26.45" customHeight="1" x14ac:dyDescent="0.25">
      <c r="A48" s="113" t="s">
        <v>82</v>
      </c>
      <c r="B48" s="114" t="s">
        <v>83</v>
      </c>
      <c r="C48" s="346" t="s">
        <v>191</v>
      </c>
      <c r="D48" s="345">
        <v>51</v>
      </c>
      <c r="E48" s="345">
        <v>1</v>
      </c>
      <c r="F48" s="385">
        <f>D48*E48</f>
        <v>51</v>
      </c>
      <c r="G48" s="345">
        <v>0.16700000000000001</v>
      </c>
      <c r="H48" s="385">
        <f>F48*G48</f>
        <v>8.5170000000000012</v>
      </c>
      <c r="I48" s="194">
        <f>'2021'!H42</f>
        <v>8.1829999999999998</v>
      </c>
      <c r="J48" s="330">
        <f>H48-I48</f>
        <v>0.33400000000000141</v>
      </c>
      <c r="K48" s="404">
        <v>0</v>
      </c>
      <c r="L48" s="345">
        <f>J48+K48</f>
        <v>0.33400000000000141</v>
      </c>
      <c r="M48" s="333" t="s">
        <v>20</v>
      </c>
    </row>
    <row r="49" spans="1:13" ht="25.5" x14ac:dyDescent="0.25">
      <c r="A49" s="56">
        <v>248.9</v>
      </c>
      <c r="B49" s="61" t="s">
        <v>84</v>
      </c>
      <c r="C49" s="61"/>
      <c r="D49" s="387">
        <v>51</v>
      </c>
      <c r="E49" s="387">
        <f>1330746/51</f>
        <v>26093.058823529413</v>
      </c>
      <c r="F49" s="385">
        <f t="shared" ref="F49:F58" si="9">D49*E49</f>
        <v>1330746</v>
      </c>
      <c r="G49" s="387">
        <v>0.25</v>
      </c>
      <c r="H49" s="385">
        <f t="shared" ref="H49:H58" si="10">F49*G49</f>
        <v>332686.5</v>
      </c>
      <c r="I49" s="194">
        <f>'2021'!H43</f>
        <v>390118.75</v>
      </c>
      <c r="J49" s="330">
        <f t="shared" ref="J49:J58" si="11">H49-I49</f>
        <v>-57432.25</v>
      </c>
      <c r="K49" s="404">
        <v>0</v>
      </c>
      <c r="L49" s="345">
        <f t="shared" ref="L49:L58" si="12">J49+K49</f>
        <v>-57432.25</v>
      </c>
      <c r="M49" s="333" t="s">
        <v>63</v>
      </c>
    </row>
    <row r="50" spans="1:13" ht="26.45" customHeight="1" x14ac:dyDescent="0.25">
      <c r="A50" s="56" t="s">
        <v>85</v>
      </c>
      <c r="B50" s="61" t="s">
        <v>86</v>
      </c>
      <c r="C50" s="61"/>
      <c r="D50" s="387">
        <v>51</v>
      </c>
      <c r="E50" s="387">
        <v>1</v>
      </c>
      <c r="F50" s="385">
        <f t="shared" si="9"/>
        <v>51</v>
      </c>
      <c r="G50" s="387">
        <v>2</v>
      </c>
      <c r="H50" s="385">
        <f t="shared" si="10"/>
        <v>102</v>
      </c>
      <c r="I50" s="194">
        <f>'2021'!H44</f>
        <v>98</v>
      </c>
      <c r="J50" s="330">
        <f t="shared" si="11"/>
        <v>4</v>
      </c>
      <c r="K50" s="404">
        <v>0</v>
      </c>
      <c r="L50" s="345">
        <f t="shared" si="12"/>
        <v>4</v>
      </c>
      <c r="M50" s="333" t="s">
        <v>20</v>
      </c>
    </row>
    <row r="51" spans="1:13" ht="26.45" customHeight="1" x14ac:dyDescent="0.25">
      <c r="A51" s="56" t="s">
        <v>70</v>
      </c>
      <c r="B51" s="61" t="s">
        <v>71</v>
      </c>
      <c r="C51" s="48"/>
      <c r="D51" s="194">
        <v>51</v>
      </c>
      <c r="E51" s="194">
        <v>1</v>
      </c>
      <c r="F51" s="385">
        <f t="shared" si="9"/>
        <v>51</v>
      </c>
      <c r="G51" s="194">
        <v>2</v>
      </c>
      <c r="H51" s="385">
        <f t="shared" si="10"/>
        <v>102</v>
      </c>
      <c r="I51" s="194">
        <f>'2021'!H45</f>
        <v>98</v>
      </c>
      <c r="J51" s="330">
        <f t="shared" si="11"/>
        <v>4</v>
      </c>
      <c r="K51" s="404">
        <v>0</v>
      </c>
      <c r="L51" s="345">
        <f t="shared" si="12"/>
        <v>4</v>
      </c>
      <c r="M51" s="333" t="s">
        <v>20</v>
      </c>
    </row>
    <row r="52" spans="1:13" ht="26.45" customHeight="1" x14ac:dyDescent="0.25">
      <c r="A52" s="56" t="s">
        <v>28</v>
      </c>
      <c r="B52" s="58" t="s">
        <v>87</v>
      </c>
      <c r="C52" s="48"/>
      <c r="D52" s="194">
        <v>51</v>
      </c>
      <c r="E52" s="194">
        <v>1</v>
      </c>
      <c r="F52" s="385">
        <f t="shared" si="9"/>
        <v>51</v>
      </c>
      <c r="G52" s="194">
        <v>0.16700000000000001</v>
      </c>
      <c r="H52" s="385">
        <f t="shared" si="10"/>
        <v>8.5170000000000012</v>
      </c>
      <c r="I52" s="194">
        <f>'2021'!H46</f>
        <v>8.1829999999999998</v>
      </c>
      <c r="J52" s="330">
        <f t="shared" si="11"/>
        <v>0.33400000000000141</v>
      </c>
      <c r="K52" s="404">
        <v>0</v>
      </c>
      <c r="L52" s="345">
        <f t="shared" si="12"/>
        <v>0.33400000000000141</v>
      </c>
      <c r="M52" s="333" t="s">
        <v>20</v>
      </c>
    </row>
    <row r="53" spans="1:13" ht="25.5" x14ac:dyDescent="0.25">
      <c r="A53" s="56" t="s">
        <v>88</v>
      </c>
      <c r="B53" s="58" t="s">
        <v>89</v>
      </c>
      <c r="C53" s="319"/>
      <c r="D53" s="194">
        <v>51</v>
      </c>
      <c r="E53" s="194">
        <f>(19597/51)*0.1</f>
        <v>38.425490196078435</v>
      </c>
      <c r="F53" s="385">
        <f t="shared" si="9"/>
        <v>1959.7000000000003</v>
      </c>
      <c r="G53" s="194">
        <v>0.5</v>
      </c>
      <c r="H53" s="385">
        <f t="shared" si="10"/>
        <v>979.85000000000014</v>
      </c>
      <c r="I53" s="194">
        <f>'2021'!H47</f>
        <v>994.19999999999993</v>
      </c>
      <c r="J53" s="330">
        <f t="shared" si="11"/>
        <v>-14.349999999999795</v>
      </c>
      <c r="K53" s="404">
        <v>0</v>
      </c>
      <c r="L53" s="345">
        <f t="shared" si="12"/>
        <v>-14.349999999999795</v>
      </c>
      <c r="M53" s="333" t="s">
        <v>67</v>
      </c>
    </row>
    <row r="54" spans="1:13" ht="25.5" x14ac:dyDescent="0.25">
      <c r="A54" s="56" t="s">
        <v>36</v>
      </c>
      <c r="B54" s="54" t="s">
        <v>37</v>
      </c>
      <c r="C54" s="319"/>
      <c r="D54" s="194">
        <v>51</v>
      </c>
      <c r="E54" s="386">
        <f>(1098*0.5)/51</f>
        <v>10.764705882352942</v>
      </c>
      <c r="F54" s="385">
        <f t="shared" si="9"/>
        <v>549</v>
      </c>
      <c r="G54" s="194">
        <v>0.5</v>
      </c>
      <c r="H54" s="385">
        <f t="shared" si="10"/>
        <v>274.5</v>
      </c>
      <c r="I54" s="194">
        <f>'2021'!H48</f>
        <v>248.5</v>
      </c>
      <c r="J54" s="330">
        <f>H54-I54</f>
        <v>26</v>
      </c>
      <c r="K54" s="404">
        <v>0</v>
      </c>
      <c r="L54" s="345">
        <f t="shared" si="12"/>
        <v>26</v>
      </c>
      <c r="M54" s="367" t="s">
        <v>18</v>
      </c>
    </row>
    <row r="55" spans="1:13" ht="26.45" customHeight="1" x14ac:dyDescent="0.25">
      <c r="A55" s="53" t="s">
        <v>90</v>
      </c>
      <c r="B55" s="48" t="s">
        <v>91</v>
      </c>
      <c r="C55" s="346" t="s">
        <v>92</v>
      </c>
      <c r="D55" s="194">
        <v>51</v>
      </c>
      <c r="E55" s="194">
        <v>1</v>
      </c>
      <c r="F55" s="385">
        <f t="shared" si="9"/>
        <v>51</v>
      </c>
      <c r="G55" s="194">
        <v>2</v>
      </c>
      <c r="H55" s="385">
        <f t="shared" si="10"/>
        <v>102</v>
      </c>
      <c r="I55" s="194">
        <f>'2021'!H49</f>
        <v>98</v>
      </c>
      <c r="J55" s="330">
        <f t="shared" si="11"/>
        <v>4</v>
      </c>
      <c r="K55" s="404">
        <v>0</v>
      </c>
      <c r="L55" s="345">
        <f t="shared" si="12"/>
        <v>4</v>
      </c>
      <c r="M55" s="333" t="s">
        <v>20</v>
      </c>
    </row>
    <row r="56" spans="1:13" ht="26.45" customHeight="1" x14ac:dyDescent="0.25">
      <c r="A56" s="53" t="s">
        <v>93</v>
      </c>
      <c r="B56" s="48" t="s">
        <v>94</v>
      </c>
      <c r="C56" s="319"/>
      <c r="D56" s="194">
        <v>51</v>
      </c>
      <c r="E56" s="194">
        <v>1</v>
      </c>
      <c r="F56" s="385">
        <f t="shared" si="9"/>
        <v>51</v>
      </c>
      <c r="G56" s="194">
        <v>1</v>
      </c>
      <c r="H56" s="385">
        <f t="shared" si="10"/>
        <v>51</v>
      </c>
      <c r="I56" s="194">
        <f>'2021'!H50</f>
        <v>49</v>
      </c>
      <c r="J56" s="330">
        <f t="shared" si="11"/>
        <v>2</v>
      </c>
      <c r="K56" s="404">
        <v>0</v>
      </c>
      <c r="L56" s="345">
        <f t="shared" si="12"/>
        <v>2</v>
      </c>
      <c r="M56" s="333" t="s">
        <v>20</v>
      </c>
    </row>
    <row r="57" spans="1:13" ht="26.45" customHeight="1" x14ac:dyDescent="0.25">
      <c r="A57" s="53" t="s">
        <v>53</v>
      </c>
      <c r="B57" s="48" t="s">
        <v>95</v>
      </c>
      <c r="C57" s="319"/>
      <c r="D57" s="194">
        <v>51</v>
      </c>
      <c r="E57" s="194">
        <v>1</v>
      </c>
      <c r="F57" s="385">
        <f t="shared" si="9"/>
        <v>51</v>
      </c>
      <c r="G57" s="194">
        <v>2</v>
      </c>
      <c r="H57" s="385">
        <f t="shared" si="10"/>
        <v>102</v>
      </c>
      <c r="I57" s="194">
        <f>'2021'!H51</f>
        <v>98</v>
      </c>
      <c r="J57" s="330">
        <f t="shared" si="11"/>
        <v>4</v>
      </c>
      <c r="K57" s="404">
        <v>0</v>
      </c>
      <c r="L57" s="345">
        <f t="shared" si="12"/>
        <v>4</v>
      </c>
      <c r="M57" s="333" t="s">
        <v>20</v>
      </c>
    </row>
    <row r="58" spans="1:13" ht="26.45" customHeight="1" x14ac:dyDescent="0.25">
      <c r="A58" s="53" t="s">
        <v>96</v>
      </c>
      <c r="B58" s="48" t="s">
        <v>97</v>
      </c>
      <c r="C58" s="319"/>
      <c r="D58" s="194">
        <v>51</v>
      </c>
      <c r="E58" s="194">
        <v>1</v>
      </c>
      <c r="F58" s="405">
        <f t="shared" si="9"/>
        <v>51</v>
      </c>
      <c r="G58" s="194">
        <v>40</v>
      </c>
      <c r="H58" s="385">
        <f t="shared" si="10"/>
        <v>2040</v>
      </c>
      <c r="I58" s="194">
        <f>'2021'!H52</f>
        <v>1960</v>
      </c>
      <c r="J58" s="330">
        <f t="shared" si="11"/>
        <v>80</v>
      </c>
      <c r="K58" s="404">
        <v>0</v>
      </c>
      <c r="L58" s="345">
        <f t="shared" si="12"/>
        <v>80</v>
      </c>
      <c r="M58" s="333" t="s">
        <v>20</v>
      </c>
    </row>
    <row r="59" spans="1:13" ht="26.45" customHeight="1" x14ac:dyDescent="0.25">
      <c r="A59" s="422" t="s">
        <v>98</v>
      </c>
      <c r="B59" s="423"/>
      <c r="C59" s="361"/>
      <c r="D59" s="347">
        <v>51</v>
      </c>
      <c r="E59" s="347">
        <f>+F59/D59</f>
        <v>26150.249019607843</v>
      </c>
      <c r="F59" s="347">
        <f>SUM(F48:F58)</f>
        <v>1333662.7</v>
      </c>
      <c r="G59" s="347">
        <f>+H59/F59</f>
        <v>0.25228034344815969</v>
      </c>
      <c r="H59" s="347">
        <f>SUM(H48:H58)</f>
        <v>336456.88399999996</v>
      </c>
      <c r="I59" s="347">
        <f>SUM(I48:I58)</f>
        <v>393778.81600000005</v>
      </c>
      <c r="J59" s="347">
        <f>SUM(J48:J58)</f>
        <v>-57321.931999999993</v>
      </c>
      <c r="K59" s="347">
        <f>SUM(K48:K58)</f>
        <v>0</v>
      </c>
      <c r="L59" s="347">
        <f>SUM(L48:L58)</f>
        <v>-57321.931999999993</v>
      </c>
      <c r="M59" s="362"/>
    </row>
    <row r="60" spans="1:13" ht="26.45" customHeight="1" x14ac:dyDescent="0.25">
      <c r="A60" s="422" t="s">
        <v>99</v>
      </c>
      <c r="B60" s="423"/>
      <c r="C60" s="361"/>
      <c r="D60" s="347">
        <f>D45</f>
        <v>1351492</v>
      </c>
      <c r="E60" s="347">
        <f>F60/D60</f>
        <v>3.070231504185672</v>
      </c>
      <c r="F60" s="347">
        <f>SUM(F45+F59)</f>
        <v>4149393.316054902</v>
      </c>
      <c r="G60" s="347">
        <f>H60/F60</f>
        <v>0.28340627116563882</v>
      </c>
      <c r="H60" s="347">
        <f>SUM(H45+H59)</f>
        <v>1175964.0873027449</v>
      </c>
      <c r="I60" s="347">
        <f>SUM(I45+I59)</f>
        <v>1640906.65148</v>
      </c>
      <c r="J60" s="347">
        <f>SUM(J59+J45)</f>
        <v>-144252.22104</v>
      </c>
      <c r="K60" s="347">
        <f>SUM(K45+K59)</f>
        <v>-320690.34313725494</v>
      </c>
      <c r="L60" s="347">
        <f>SUM(L45+L59)</f>
        <v>-464942.56417725491</v>
      </c>
      <c r="M60" s="362"/>
    </row>
    <row r="61" spans="1:13" x14ac:dyDescent="0.25">
      <c r="A61" s="372" t="s">
        <v>100</v>
      </c>
      <c r="D61" s="19"/>
    </row>
    <row r="62" spans="1:13" ht="15.75" thickBot="1" x14ac:dyDescent="0.3">
      <c r="D62" s="22"/>
      <c r="E62" s="23"/>
      <c r="F62" s="22"/>
      <c r="G62" s="23"/>
      <c r="H62" s="22"/>
      <c r="I62" s="22"/>
      <c r="J62" s="22"/>
      <c r="K62" s="22"/>
      <c r="L62" s="22"/>
    </row>
    <row r="63" spans="1:13" ht="39" thickBot="1" x14ac:dyDescent="0.3">
      <c r="B63" s="381" t="s">
        <v>101</v>
      </c>
      <c r="C63" s="34" t="s">
        <v>102</v>
      </c>
      <c r="D63" s="34" t="s">
        <v>103</v>
      </c>
      <c r="E63" s="34" t="s">
        <v>104</v>
      </c>
      <c r="F63" s="35" t="s">
        <v>105</v>
      </c>
      <c r="G63" s="36" t="s">
        <v>106</v>
      </c>
      <c r="I63" s="26"/>
      <c r="J63" s="29"/>
    </row>
    <row r="64" spans="1:13" x14ac:dyDescent="0.25">
      <c r="B64" s="382" t="s">
        <v>107</v>
      </c>
      <c r="C64" s="407">
        <f>+D45</f>
        <v>1351492</v>
      </c>
      <c r="D64" s="408">
        <f>+E64/C64</f>
        <v>2.0834238131301568</v>
      </c>
      <c r="E64" s="407">
        <f>+F45</f>
        <v>2815730.6160549019</v>
      </c>
      <c r="F64" s="408">
        <f>+G64/E64</f>
        <v>0.29814897721962197</v>
      </c>
      <c r="G64" s="409">
        <f>+H45</f>
        <v>839507.20330274501</v>
      </c>
      <c r="J64" s="373"/>
    </row>
    <row r="65" spans="1:14" ht="15.75" thickBot="1" x14ac:dyDescent="0.3">
      <c r="B65" s="383" t="s">
        <v>108</v>
      </c>
      <c r="C65" s="410">
        <f>+D59</f>
        <v>51</v>
      </c>
      <c r="D65" s="411">
        <f>+E65/C65</f>
        <v>26150.249019607843</v>
      </c>
      <c r="E65" s="412">
        <f>+F59</f>
        <v>1333662.7</v>
      </c>
      <c r="F65" s="413">
        <f>+G65/E65</f>
        <v>0.25228034344815969</v>
      </c>
      <c r="G65" s="414">
        <f>+H59</f>
        <v>336456.88399999996</v>
      </c>
      <c r="J65" s="373"/>
    </row>
    <row r="66" spans="1:14" ht="15.75" thickBot="1" x14ac:dyDescent="0.3">
      <c r="B66" s="384" t="s">
        <v>109</v>
      </c>
      <c r="C66" s="406">
        <f>D60</f>
        <v>1351492</v>
      </c>
      <c r="D66" s="415">
        <f>+E66/C66</f>
        <v>3.070231504185672</v>
      </c>
      <c r="E66" s="406">
        <f>SUM(E64:E65)</f>
        <v>4149393.316054902</v>
      </c>
      <c r="F66" s="416">
        <f>+G66/E66</f>
        <v>0.28340627116563882</v>
      </c>
      <c r="G66" s="417">
        <f>SUM(G64:G65)</f>
        <v>1175964.0873027449</v>
      </c>
      <c r="J66" s="22"/>
    </row>
    <row r="67" spans="1:14" ht="15.75" thickBot="1" x14ac:dyDescent="0.3">
      <c r="B67" s="2"/>
      <c r="C67" s="3"/>
      <c r="D67" s="4"/>
      <c r="E67" s="5"/>
      <c r="F67" s="6"/>
      <c r="G67" s="5"/>
      <c r="J67" s="30"/>
    </row>
    <row r="68" spans="1:14" ht="15.75" thickBot="1" x14ac:dyDescent="0.3">
      <c r="B68" s="40"/>
      <c r="C68" s="34" t="s">
        <v>110</v>
      </c>
      <c r="D68" s="41" t="s">
        <v>111</v>
      </c>
    </row>
    <row r="69" spans="1:14" x14ac:dyDescent="0.25">
      <c r="B69" s="42" t="s">
        <v>112</v>
      </c>
      <c r="C69" s="418">
        <v>4909194.4336000001</v>
      </c>
      <c r="D69" s="419">
        <v>1640906.65148</v>
      </c>
      <c r="E69" s="7"/>
      <c r="F69" s="8"/>
      <c r="G69" s="24"/>
    </row>
    <row r="70" spans="1:14" x14ac:dyDescent="0.25">
      <c r="B70" s="43" t="s">
        <v>113</v>
      </c>
      <c r="C70" s="420">
        <f>+E66</f>
        <v>4149393.316054902</v>
      </c>
      <c r="D70" s="421">
        <f>+G66</f>
        <v>1175964.0873027449</v>
      </c>
      <c r="E70" s="7"/>
      <c r="F70" s="8"/>
      <c r="G70" s="25"/>
    </row>
    <row r="71" spans="1:14" ht="15.75" thickBot="1" x14ac:dyDescent="0.3">
      <c r="B71" s="9" t="s">
        <v>114</v>
      </c>
      <c r="C71" s="152">
        <f>+C70-C69</f>
        <v>-759801.11754509807</v>
      </c>
      <c r="D71" s="198">
        <f>D70-D69</f>
        <v>-464942.56417725515</v>
      </c>
      <c r="E71" s="7"/>
      <c r="F71" s="8"/>
      <c r="G71" s="7"/>
    </row>
    <row r="72" spans="1:14" x14ac:dyDescent="0.25">
      <c r="I72" s="19"/>
    </row>
    <row r="73" spans="1:14" x14ac:dyDescent="0.25">
      <c r="N73" s="28"/>
    </row>
    <row r="74" spans="1:14" x14ac:dyDescent="0.25">
      <c r="I74" s="189"/>
      <c r="J74" s="189"/>
      <c r="N74" s="28"/>
    </row>
    <row r="75" spans="1:14" x14ac:dyDescent="0.25">
      <c r="A75"/>
      <c r="C75" s="368"/>
      <c r="E75" s="189"/>
      <c r="F75" s="369"/>
      <c r="N75" s="28"/>
    </row>
    <row r="76" spans="1:14" x14ac:dyDescent="0.25">
      <c r="E76" s="189"/>
      <c r="F76" s="369"/>
      <c r="N76" s="28"/>
    </row>
    <row r="77" spans="1:14" x14ac:dyDescent="0.25">
      <c r="E77" s="189"/>
      <c r="F77" s="369"/>
    </row>
    <row r="78" spans="1:14" x14ac:dyDescent="0.25">
      <c r="C78" s="19"/>
      <c r="E78" s="189"/>
      <c r="F78" s="369"/>
    </row>
  </sheetData>
  <mergeCells count="16">
    <mergeCell ref="A30:M30"/>
    <mergeCell ref="A1:M1"/>
    <mergeCell ref="A2:M2"/>
    <mergeCell ref="A4:M4"/>
    <mergeCell ref="A5:M5"/>
    <mergeCell ref="A29:B29"/>
    <mergeCell ref="M18:M20"/>
    <mergeCell ref="A59:B59"/>
    <mergeCell ref="A60:B60"/>
    <mergeCell ref="A32:B32"/>
    <mergeCell ref="A33:M33"/>
    <mergeCell ref="A44:B44"/>
    <mergeCell ref="A45:B45"/>
    <mergeCell ref="A46:M46"/>
    <mergeCell ref="A47:M47"/>
    <mergeCell ref="M39:M4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T70"/>
  <sheetViews>
    <sheetView zoomScale="90" zoomScaleNormal="90" workbookViewId="0">
      <pane ySplit="3" topLeftCell="A50" activePane="bottomLeft" state="frozen"/>
      <selection pane="bottomLeft" activeCell="G58" sqref="G58:G59"/>
    </sheetView>
  </sheetViews>
  <sheetFormatPr defaultColWidth="9.140625" defaultRowHeight="15" x14ac:dyDescent="0.25"/>
  <cols>
    <col min="1" max="1" width="17.42578125" style="17" customWidth="1"/>
    <col min="2" max="2" width="41.85546875" style="18" customWidth="1"/>
    <col min="3" max="3" width="13.85546875" style="18" customWidth="1"/>
    <col min="4" max="4" width="15.140625" style="18" customWidth="1"/>
    <col min="5" max="5" width="21.5703125" style="18" customWidth="1"/>
    <col min="6" max="6" width="17.140625" style="18" customWidth="1"/>
    <col min="7" max="7" width="14" style="18" bestFit="1" customWidth="1"/>
    <col min="8" max="8" width="13.85546875" style="18" customWidth="1"/>
    <col min="9" max="9" width="15.42578125" style="18" customWidth="1"/>
    <col min="10" max="10" width="16.85546875" style="18" customWidth="1"/>
    <col min="11" max="12" width="12.85546875" style="18" customWidth="1"/>
    <col min="13" max="13" width="21.140625" style="18" customWidth="1"/>
    <col min="14" max="14" width="3.140625" customWidth="1"/>
  </cols>
  <sheetData>
    <row r="1" spans="1:13" ht="30.6" customHeight="1" x14ac:dyDescent="0.25">
      <c r="A1" s="450" t="s">
        <v>115</v>
      </c>
      <c r="B1" s="450"/>
      <c r="C1" s="450"/>
      <c r="D1" s="450"/>
      <c r="E1" s="450"/>
      <c r="F1" s="450"/>
      <c r="G1" s="450"/>
      <c r="H1" s="450"/>
      <c r="I1" s="450"/>
      <c r="J1" s="450"/>
      <c r="K1" s="450"/>
      <c r="L1" s="450"/>
      <c r="M1" s="450"/>
    </row>
    <row r="2" spans="1:13" s="10" customFormat="1" ht="18" x14ac:dyDescent="0.25">
      <c r="A2" s="442" t="s">
        <v>0</v>
      </c>
      <c r="B2" s="442"/>
      <c r="C2" s="442"/>
      <c r="D2" s="442"/>
      <c r="E2" s="442"/>
      <c r="F2" s="442"/>
      <c r="G2" s="442"/>
      <c r="H2" s="442"/>
      <c r="I2" s="442"/>
      <c r="J2" s="442"/>
      <c r="K2" s="442"/>
      <c r="L2" s="442"/>
      <c r="M2" s="442"/>
    </row>
    <row r="3" spans="1:13" s="10" customFormat="1" ht="120.6" customHeight="1" x14ac:dyDescent="0.25">
      <c r="A3" s="11" t="s">
        <v>1</v>
      </c>
      <c r="B3" s="11" t="s">
        <v>2</v>
      </c>
      <c r="C3" s="12" t="s">
        <v>3</v>
      </c>
      <c r="D3" s="11" t="s">
        <v>4</v>
      </c>
      <c r="E3" s="11" t="s">
        <v>5</v>
      </c>
      <c r="F3" s="14" t="s">
        <v>6</v>
      </c>
      <c r="G3" s="11" t="s">
        <v>7</v>
      </c>
      <c r="H3" s="14" t="s">
        <v>8</v>
      </c>
      <c r="I3" s="11" t="s">
        <v>9</v>
      </c>
      <c r="J3" s="11" t="s">
        <v>10</v>
      </c>
      <c r="K3" s="11" t="s">
        <v>11</v>
      </c>
      <c r="L3" s="11" t="s">
        <v>12</v>
      </c>
      <c r="M3" s="11" t="s">
        <v>13</v>
      </c>
    </row>
    <row r="4" spans="1:13" s="10" customFormat="1" x14ac:dyDescent="0.25">
      <c r="A4" s="429" t="s">
        <v>14</v>
      </c>
      <c r="B4" s="457"/>
      <c r="C4" s="457"/>
      <c r="D4" s="457"/>
      <c r="E4" s="457"/>
      <c r="F4" s="457"/>
      <c r="G4" s="457"/>
      <c r="H4" s="457"/>
      <c r="I4" s="457"/>
      <c r="J4" s="457"/>
      <c r="K4" s="457"/>
      <c r="L4" s="457"/>
      <c r="M4" s="458"/>
    </row>
    <row r="5" spans="1:13" s="10" customFormat="1" x14ac:dyDescent="0.25">
      <c r="A5" s="446" t="s">
        <v>15</v>
      </c>
      <c r="B5" s="446"/>
      <c r="C5" s="446"/>
      <c r="D5" s="446"/>
      <c r="E5" s="446"/>
      <c r="F5" s="446"/>
      <c r="G5" s="446"/>
      <c r="H5" s="446"/>
      <c r="I5" s="446"/>
      <c r="J5" s="446"/>
      <c r="K5" s="446"/>
      <c r="L5" s="446"/>
      <c r="M5" s="446"/>
    </row>
    <row r="6" spans="1:13" ht="63.95" customHeight="1" x14ac:dyDescent="0.25">
      <c r="A6" s="56" t="s">
        <v>16</v>
      </c>
      <c r="B6" s="54" t="s">
        <v>17</v>
      </c>
      <c r="C6" s="49"/>
      <c r="D6" s="62">
        <f>994*0.7</f>
        <v>695.8</v>
      </c>
      <c r="E6" s="63">
        <v>0.5</v>
      </c>
      <c r="F6" s="70">
        <f>D6*E6</f>
        <v>347.9</v>
      </c>
      <c r="G6" s="63">
        <v>2</v>
      </c>
      <c r="H6" s="70">
        <f>F6*G6</f>
        <v>695.8</v>
      </c>
      <c r="I6" s="71">
        <v>980</v>
      </c>
      <c r="J6" s="63">
        <v>-284</v>
      </c>
      <c r="K6" s="15"/>
      <c r="L6" s="63">
        <f>J6+K6</f>
        <v>-284</v>
      </c>
      <c r="M6" s="44" t="s">
        <v>116</v>
      </c>
    </row>
    <row r="7" spans="1:13" ht="47.45" customHeight="1" x14ac:dyDescent="0.25">
      <c r="A7" s="53">
        <v>248.4</v>
      </c>
      <c r="B7" s="57" t="s">
        <v>19</v>
      </c>
      <c r="C7" s="51" t="s">
        <v>117</v>
      </c>
      <c r="D7" s="63">
        <v>49</v>
      </c>
      <c r="E7" s="63">
        <v>1</v>
      </c>
      <c r="F7" s="70">
        <f t="shared" ref="F7:F25" si="0">D7*E7</f>
        <v>49</v>
      </c>
      <c r="G7" s="63">
        <v>40</v>
      </c>
      <c r="H7" s="138">
        <f t="shared" ref="H7:H25" si="1">F7*G7</f>
        <v>1960</v>
      </c>
      <c r="I7" s="161">
        <v>1960</v>
      </c>
      <c r="J7" s="63">
        <f t="shared" ref="J7:J25" si="2">H7-I7</f>
        <v>0</v>
      </c>
      <c r="K7" s="15"/>
      <c r="L7" s="63">
        <f t="shared" ref="L7:L25" si="3">J7+K7</f>
        <v>0</v>
      </c>
      <c r="M7" s="45" t="s">
        <v>30</v>
      </c>
    </row>
    <row r="8" spans="1:13" ht="44.1" customHeight="1" x14ac:dyDescent="0.25">
      <c r="A8" s="56" t="s">
        <v>21</v>
      </c>
      <c r="B8" s="54" t="s">
        <v>22</v>
      </c>
      <c r="C8" s="49"/>
      <c r="D8" s="63">
        <v>49</v>
      </c>
      <c r="E8" s="161">
        <f>1560475/49</f>
        <v>31846.428571428572</v>
      </c>
      <c r="F8" s="138">
        <f t="shared" ref="F8:F14" si="4">D8*E8</f>
        <v>1560475</v>
      </c>
      <c r="G8" s="63">
        <v>0.25</v>
      </c>
      <c r="H8" s="138">
        <f t="shared" ref="H8:H14" si="5">F8*G8</f>
        <v>390118.75</v>
      </c>
      <c r="I8" s="161">
        <v>411647.25</v>
      </c>
      <c r="J8" s="164">
        <v>-21528</v>
      </c>
      <c r="K8" s="31"/>
      <c r="L8" s="165">
        <f t="shared" si="3"/>
        <v>-21528</v>
      </c>
      <c r="M8" s="44" t="s">
        <v>118</v>
      </c>
    </row>
    <row r="9" spans="1:13" ht="51" x14ac:dyDescent="0.25">
      <c r="A9" s="53" t="s">
        <v>119</v>
      </c>
      <c r="B9" s="55" t="s">
        <v>24</v>
      </c>
      <c r="C9" s="50"/>
      <c r="D9" s="67">
        <v>49</v>
      </c>
      <c r="E9" s="67">
        <f>(9942/49)</f>
        <v>202.89795918367346</v>
      </c>
      <c r="F9" s="138">
        <f t="shared" si="4"/>
        <v>9942</v>
      </c>
      <c r="G9" s="67">
        <v>1</v>
      </c>
      <c r="H9" s="138">
        <f t="shared" si="5"/>
        <v>9942</v>
      </c>
      <c r="I9" s="95">
        <v>12560</v>
      </c>
      <c r="J9" s="163">
        <f>H9-I9</f>
        <v>-2618</v>
      </c>
      <c r="K9" s="27"/>
      <c r="L9" s="165">
        <f t="shared" si="3"/>
        <v>-2618</v>
      </c>
      <c r="M9" s="45" t="s">
        <v>120</v>
      </c>
    </row>
    <row r="10" spans="1:13" ht="38.25" x14ac:dyDescent="0.25">
      <c r="A10" s="56" t="s">
        <v>25</v>
      </c>
      <c r="B10" s="106" t="s">
        <v>26</v>
      </c>
      <c r="C10" s="50"/>
      <c r="D10" s="67">
        <v>49</v>
      </c>
      <c r="E10" s="67">
        <v>1</v>
      </c>
      <c r="F10" s="67">
        <f t="shared" si="4"/>
        <v>49</v>
      </c>
      <c r="G10" s="67">
        <v>8</v>
      </c>
      <c r="H10" s="70">
        <f t="shared" si="5"/>
        <v>392</v>
      </c>
      <c r="I10" s="67">
        <v>0</v>
      </c>
      <c r="J10" s="72"/>
      <c r="K10" s="27">
        <f>H10-I10</f>
        <v>392</v>
      </c>
      <c r="L10" s="63">
        <f t="shared" si="3"/>
        <v>392</v>
      </c>
      <c r="M10" s="44" t="s">
        <v>121</v>
      </c>
    </row>
    <row r="11" spans="1:13" ht="38.25" x14ac:dyDescent="0.25">
      <c r="A11" s="56" t="s">
        <v>25</v>
      </c>
      <c r="B11" s="106" t="s">
        <v>27</v>
      </c>
      <c r="C11" s="50"/>
      <c r="D11" s="67">
        <v>49</v>
      </c>
      <c r="E11" s="67">
        <v>15</v>
      </c>
      <c r="F11" s="67">
        <f t="shared" si="4"/>
        <v>735</v>
      </c>
      <c r="G11" s="67">
        <v>2</v>
      </c>
      <c r="H11" s="138">
        <f t="shared" si="5"/>
        <v>1470</v>
      </c>
      <c r="I11" s="67">
        <v>0</v>
      </c>
      <c r="J11" s="72"/>
      <c r="K11" s="27">
        <f>H11-I11</f>
        <v>1470</v>
      </c>
      <c r="L11" s="161">
        <f t="shared" si="3"/>
        <v>1470</v>
      </c>
      <c r="M11" s="44" t="s">
        <v>121</v>
      </c>
    </row>
    <row r="12" spans="1:13" ht="38.25" x14ac:dyDescent="0.25">
      <c r="A12" s="56" t="s">
        <v>28</v>
      </c>
      <c r="B12" s="106" t="s">
        <v>29</v>
      </c>
      <c r="C12" s="50"/>
      <c r="D12" s="67">
        <v>5</v>
      </c>
      <c r="E12" s="67">
        <v>1</v>
      </c>
      <c r="F12" s="67">
        <f t="shared" si="4"/>
        <v>5</v>
      </c>
      <c r="G12" s="67">
        <v>8.3500000000000005E-2</v>
      </c>
      <c r="H12" s="70">
        <f t="shared" si="5"/>
        <v>0.41750000000000004</v>
      </c>
      <c r="I12" s="67">
        <v>0</v>
      </c>
      <c r="J12" s="72"/>
      <c r="K12" s="27">
        <f>H12-I12</f>
        <v>0.41750000000000004</v>
      </c>
      <c r="L12" s="63">
        <f t="shared" si="3"/>
        <v>0.41750000000000004</v>
      </c>
      <c r="M12" s="88" t="s">
        <v>121</v>
      </c>
    </row>
    <row r="13" spans="1:13" ht="38.25" x14ac:dyDescent="0.25">
      <c r="A13" s="56" t="s">
        <v>31</v>
      </c>
      <c r="B13" s="106" t="s">
        <v>32</v>
      </c>
      <c r="C13" s="50"/>
      <c r="D13" s="67">
        <v>49</v>
      </c>
      <c r="E13" s="67">
        <v>1</v>
      </c>
      <c r="F13" s="67">
        <f t="shared" si="4"/>
        <v>49</v>
      </c>
      <c r="G13" s="67">
        <v>8</v>
      </c>
      <c r="H13" s="70">
        <f t="shared" si="5"/>
        <v>392</v>
      </c>
      <c r="I13" s="67">
        <v>0</v>
      </c>
      <c r="J13" s="72"/>
      <c r="K13" s="27">
        <f>H13-I13</f>
        <v>392</v>
      </c>
      <c r="L13" s="63">
        <f t="shared" si="3"/>
        <v>392</v>
      </c>
      <c r="M13" s="44" t="s">
        <v>121</v>
      </c>
    </row>
    <row r="14" spans="1:13" ht="38.25" x14ac:dyDescent="0.25">
      <c r="A14" s="56" t="s">
        <v>31</v>
      </c>
      <c r="B14" s="106" t="s">
        <v>33</v>
      </c>
      <c r="C14" s="50"/>
      <c r="D14" s="67">
        <v>49</v>
      </c>
      <c r="E14" s="67">
        <v>15</v>
      </c>
      <c r="F14" s="67">
        <f t="shared" si="4"/>
        <v>735</v>
      </c>
      <c r="G14" s="67">
        <v>2</v>
      </c>
      <c r="H14" s="162">
        <f t="shared" si="5"/>
        <v>1470</v>
      </c>
      <c r="I14" s="67">
        <v>0</v>
      </c>
      <c r="J14" s="72"/>
      <c r="K14" s="27">
        <f>H14-I14</f>
        <v>1470</v>
      </c>
      <c r="L14" s="161">
        <f t="shared" si="3"/>
        <v>1470</v>
      </c>
      <c r="M14" s="44" t="s">
        <v>121</v>
      </c>
    </row>
    <row r="15" spans="1:13" ht="51" x14ac:dyDescent="0.25">
      <c r="A15" s="56" t="s">
        <v>34</v>
      </c>
      <c r="B15" s="54" t="s">
        <v>35</v>
      </c>
      <c r="C15" s="51"/>
      <c r="D15" s="62">
        <v>49</v>
      </c>
      <c r="E15" s="62">
        <f>((19884)/49)*0.1</f>
        <v>40.579591836734693</v>
      </c>
      <c r="F15" s="138">
        <f t="shared" si="0"/>
        <v>1988.3999999999999</v>
      </c>
      <c r="G15" s="62">
        <v>1.5</v>
      </c>
      <c r="H15" s="138">
        <f t="shared" si="1"/>
        <v>2982.6</v>
      </c>
      <c r="I15" s="59">
        <v>3768</v>
      </c>
      <c r="J15" s="62">
        <v>-785</v>
      </c>
      <c r="K15" s="52"/>
      <c r="L15" s="63">
        <f t="shared" si="3"/>
        <v>-785</v>
      </c>
      <c r="M15" s="44" t="s">
        <v>120</v>
      </c>
    </row>
    <row r="16" spans="1:13" ht="38.25" x14ac:dyDescent="0.25">
      <c r="A16" s="56" t="s">
        <v>36</v>
      </c>
      <c r="B16" s="54" t="s">
        <v>37</v>
      </c>
      <c r="C16" s="51"/>
      <c r="D16" s="62">
        <v>49</v>
      </c>
      <c r="E16" s="62">
        <f>(994/49)*0.5</f>
        <v>10.142857142857142</v>
      </c>
      <c r="F16" s="67">
        <f>D16*E16</f>
        <v>497</v>
      </c>
      <c r="G16" s="62">
        <v>2</v>
      </c>
      <c r="H16" s="70">
        <f t="shared" si="1"/>
        <v>994</v>
      </c>
      <c r="I16" s="62">
        <v>0</v>
      </c>
      <c r="J16" s="62"/>
      <c r="K16" s="52">
        <f>H16-I16</f>
        <v>994</v>
      </c>
      <c r="L16" s="63">
        <f t="shared" si="3"/>
        <v>994</v>
      </c>
      <c r="M16" s="44" t="s">
        <v>121</v>
      </c>
    </row>
    <row r="17" spans="1:13" ht="48.75" customHeight="1" x14ac:dyDescent="0.25">
      <c r="A17" s="53" t="s">
        <v>38</v>
      </c>
      <c r="B17" s="57" t="s">
        <v>39</v>
      </c>
      <c r="C17" s="46"/>
      <c r="D17" s="63">
        <v>49</v>
      </c>
      <c r="E17" s="63">
        <v>1</v>
      </c>
      <c r="F17" s="70">
        <f t="shared" si="0"/>
        <v>49</v>
      </c>
      <c r="G17" s="63">
        <v>5</v>
      </c>
      <c r="H17" s="70">
        <f t="shared" si="1"/>
        <v>245</v>
      </c>
      <c r="I17" s="63">
        <v>245</v>
      </c>
      <c r="J17" s="63">
        <f t="shared" si="2"/>
        <v>0</v>
      </c>
      <c r="K17" s="15"/>
      <c r="L17" s="63">
        <f t="shared" si="3"/>
        <v>0</v>
      </c>
      <c r="M17" s="45" t="s">
        <v>30</v>
      </c>
    </row>
    <row r="18" spans="1:13" x14ac:dyDescent="0.25">
      <c r="A18" s="53" t="s">
        <v>40</v>
      </c>
      <c r="B18" s="54" t="s">
        <v>122</v>
      </c>
      <c r="C18" s="46"/>
      <c r="D18" s="63">
        <v>49</v>
      </c>
      <c r="E18" s="63">
        <v>1</v>
      </c>
      <c r="F18" s="70">
        <f t="shared" si="0"/>
        <v>49</v>
      </c>
      <c r="G18" s="63">
        <v>3</v>
      </c>
      <c r="H18" s="70">
        <f t="shared" si="1"/>
        <v>147</v>
      </c>
      <c r="I18" s="63">
        <v>147</v>
      </c>
      <c r="J18" s="63">
        <f t="shared" si="2"/>
        <v>0</v>
      </c>
      <c r="K18" s="15"/>
      <c r="L18" s="63">
        <f t="shared" si="3"/>
        <v>0</v>
      </c>
      <c r="M18" s="44" t="s">
        <v>30</v>
      </c>
    </row>
    <row r="19" spans="1:13" ht="38.25" x14ac:dyDescent="0.25">
      <c r="A19" s="56" t="s">
        <v>44</v>
      </c>
      <c r="B19" s="54" t="s">
        <v>45</v>
      </c>
      <c r="C19" s="46"/>
      <c r="D19" s="63">
        <v>49</v>
      </c>
      <c r="E19" s="63">
        <f>500/49</f>
        <v>10.204081632653061</v>
      </c>
      <c r="F19" s="67">
        <f>D19*E19</f>
        <v>500</v>
      </c>
      <c r="G19" s="63">
        <v>1</v>
      </c>
      <c r="H19" s="70">
        <f>F19*G19</f>
        <v>500</v>
      </c>
      <c r="I19" s="63">
        <v>0</v>
      </c>
      <c r="J19" s="63"/>
      <c r="K19" s="15">
        <f>H19-I19</f>
        <v>500</v>
      </c>
      <c r="L19" s="63">
        <f t="shared" si="3"/>
        <v>500</v>
      </c>
      <c r="M19" s="44" t="s">
        <v>121</v>
      </c>
    </row>
    <row r="20" spans="1:13" ht="38.25" x14ac:dyDescent="0.25">
      <c r="A20" s="56" t="s">
        <v>46</v>
      </c>
      <c r="B20" s="54" t="s">
        <v>47</v>
      </c>
      <c r="C20" s="46"/>
      <c r="D20" s="63">
        <v>49</v>
      </c>
      <c r="E20" s="63">
        <f>(19884*0.02)/49</f>
        <v>8.1159183673469393</v>
      </c>
      <c r="F20" s="67">
        <f>D20*E20</f>
        <v>397.68</v>
      </c>
      <c r="G20" s="63">
        <v>8.3500000000000005E-2</v>
      </c>
      <c r="H20" s="70">
        <f>F20*G20</f>
        <v>33.20628</v>
      </c>
      <c r="I20" s="63">
        <v>0</v>
      </c>
      <c r="J20" s="63"/>
      <c r="K20" s="15">
        <f>H20-I20</f>
        <v>33.20628</v>
      </c>
      <c r="L20" s="63">
        <f t="shared" si="3"/>
        <v>33.20628</v>
      </c>
      <c r="M20" s="88" t="s">
        <v>121</v>
      </c>
    </row>
    <row r="21" spans="1:13" x14ac:dyDescent="0.25">
      <c r="A21" s="53" t="s">
        <v>48</v>
      </c>
      <c r="B21" s="181" t="s">
        <v>49</v>
      </c>
      <c r="C21" s="180"/>
      <c r="D21" s="63">
        <v>49</v>
      </c>
      <c r="E21" s="63">
        <v>1</v>
      </c>
      <c r="F21" s="70">
        <f t="shared" si="0"/>
        <v>49</v>
      </c>
      <c r="G21" s="63">
        <v>10</v>
      </c>
      <c r="H21" s="70">
        <f t="shared" si="1"/>
        <v>490</v>
      </c>
      <c r="I21" s="63">
        <v>490</v>
      </c>
      <c r="J21" s="63">
        <f t="shared" si="2"/>
        <v>0</v>
      </c>
      <c r="K21" s="15"/>
      <c r="L21" s="63">
        <f t="shared" si="3"/>
        <v>0</v>
      </c>
      <c r="M21" s="45" t="s">
        <v>30</v>
      </c>
    </row>
    <row r="22" spans="1:13" ht="38.25" x14ac:dyDescent="0.25">
      <c r="A22" s="53" t="s">
        <v>53</v>
      </c>
      <c r="B22" s="75" t="s">
        <v>54</v>
      </c>
      <c r="C22" s="57"/>
      <c r="D22" s="63">
        <v>1</v>
      </c>
      <c r="E22" s="63">
        <v>1</v>
      </c>
      <c r="F22" s="67">
        <f>D22*E22</f>
        <v>1</v>
      </c>
      <c r="G22" s="63">
        <v>24</v>
      </c>
      <c r="H22" s="70">
        <f t="shared" si="1"/>
        <v>24</v>
      </c>
      <c r="I22" s="63">
        <v>0</v>
      </c>
      <c r="J22" s="63"/>
      <c r="K22" s="15">
        <f>H22-I22</f>
        <v>24</v>
      </c>
      <c r="L22" s="63">
        <f>J22+K22</f>
        <v>24</v>
      </c>
      <c r="M22" s="45" t="s">
        <v>121</v>
      </c>
    </row>
    <row r="23" spans="1:13" x14ac:dyDescent="0.25">
      <c r="A23" s="53" t="s">
        <v>55</v>
      </c>
      <c r="B23" s="57" t="s">
        <v>56</v>
      </c>
      <c r="C23" s="57"/>
      <c r="D23" s="63">
        <v>7</v>
      </c>
      <c r="E23" s="63">
        <v>1</v>
      </c>
      <c r="F23" s="70">
        <f t="shared" si="0"/>
        <v>7</v>
      </c>
      <c r="G23" s="63">
        <v>10</v>
      </c>
      <c r="H23" s="70">
        <f t="shared" si="1"/>
        <v>70</v>
      </c>
      <c r="I23" s="63">
        <v>70</v>
      </c>
      <c r="J23" s="63">
        <f t="shared" si="2"/>
        <v>0</v>
      </c>
      <c r="K23" s="15"/>
      <c r="L23" s="63">
        <f t="shared" si="3"/>
        <v>0</v>
      </c>
      <c r="M23" s="45" t="s">
        <v>30</v>
      </c>
    </row>
    <row r="24" spans="1:13" ht="38.25" x14ac:dyDescent="0.25">
      <c r="A24" s="53" t="s">
        <v>57</v>
      </c>
      <c r="B24" s="75" t="s">
        <v>58</v>
      </c>
      <c r="C24" s="57"/>
      <c r="D24" s="63">
        <v>2</v>
      </c>
      <c r="E24" s="63">
        <v>1</v>
      </c>
      <c r="F24" s="67">
        <f t="shared" ref="F24" si="6">D24*E24</f>
        <v>2</v>
      </c>
      <c r="G24" s="63">
        <v>10</v>
      </c>
      <c r="H24" s="70">
        <f t="shared" ref="H24" si="7">F24*G24</f>
        <v>20</v>
      </c>
      <c r="I24" s="63">
        <v>0</v>
      </c>
      <c r="J24" s="63"/>
      <c r="K24" s="15">
        <f>H24-I24</f>
        <v>20</v>
      </c>
      <c r="L24" s="63">
        <f t="shared" si="3"/>
        <v>20</v>
      </c>
      <c r="M24" s="45" t="s">
        <v>121</v>
      </c>
    </row>
    <row r="25" spans="1:13" s="1" customFormat="1" ht="42.75" customHeight="1" x14ac:dyDescent="0.25">
      <c r="A25" s="53" t="s">
        <v>59</v>
      </c>
      <c r="B25" s="57" t="s">
        <v>60</v>
      </c>
      <c r="C25" s="46"/>
      <c r="D25" s="63">
        <v>1</v>
      </c>
      <c r="E25" s="63">
        <v>1</v>
      </c>
      <c r="F25" s="70">
        <f t="shared" si="0"/>
        <v>1</v>
      </c>
      <c r="G25" s="63">
        <v>15</v>
      </c>
      <c r="H25" s="70">
        <f t="shared" si="1"/>
        <v>15</v>
      </c>
      <c r="I25" s="63">
        <v>15</v>
      </c>
      <c r="J25" s="63">
        <f t="shared" si="2"/>
        <v>0</v>
      </c>
      <c r="K25" s="15"/>
      <c r="L25" s="63">
        <f t="shared" si="3"/>
        <v>0</v>
      </c>
      <c r="M25" s="45" t="s">
        <v>30</v>
      </c>
    </row>
    <row r="26" spans="1:13" ht="40.5" customHeight="1" x14ac:dyDescent="0.25">
      <c r="A26" s="453" t="s">
        <v>61</v>
      </c>
      <c r="B26" s="454"/>
      <c r="C26" s="21"/>
      <c r="D26" s="103">
        <f>49+D6</f>
        <v>744.8</v>
      </c>
      <c r="E26" s="103">
        <f>+F26/D26</f>
        <v>2115.9075993555316</v>
      </c>
      <c r="F26" s="103">
        <f>SUM(F6:F25)</f>
        <v>1575927.9799999997</v>
      </c>
      <c r="G26" s="101">
        <f>+H26/F26</f>
        <v>0.26140901044221576</v>
      </c>
      <c r="H26" s="103">
        <f>SUM(H6:H25)</f>
        <v>411961.77377999993</v>
      </c>
      <c r="I26" s="103">
        <f>SUM(I6:I25)</f>
        <v>431882.25</v>
      </c>
      <c r="J26" s="156">
        <f>SUM(J6:J25)</f>
        <v>-25215</v>
      </c>
      <c r="K26" s="103">
        <f>SUM(K6:K25)</f>
        <v>5295.6237799999999</v>
      </c>
      <c r="L26" s="178">
        <f>SUM(L6:L25)</f>
        <v>-19919.376220000002</v>
      </c>
      <c r="M26" s="13"/>
    </row>
    <row r="27" spans="1:13" x14ac:dyDescent="0.25">
      <c r="A27" s="438" t="s">
        <v>62</v>
      </c>
      <c r="B27" s="439"/>
      <c r="C27" s="439"/>
      <c r="D27" s="439"/>
      <c r="E27" s="439"/>
      <c r="F27" s="439"/>
      <c r="G27" s="439"/>
      <c r="H27" s="439"/>
      <c r="I27" s="439"/>
      <c r="J27" s="439"/>
      <c r="K27" s="439"/>
      <c r="L27" s="439"/>
      <c r="M27" s="440"/>
    </row>
    <row r="28" spans="1:13" ht="76.5" x14ac:dyDescent="0.25">
      <c r="A28" s="113" t="s">
        <v>21</v>
      </c>
      <c r="B28" s="54" t="s">
        <v>22</v>
      </c>
      <c r="C28" s="48"/>
      <c r="D28" s="161">
        <v>1560475</v>
      </c>
      <c r="E28" s="63">
        <v>1</v>
      </c>
      <c r="F28" s="138">
        <f>D28*E28</f>
        <v>1560475</v>
      </c>
      <c r="G28" s="63">
        <v>5.0099999999999999E-2</v>
      </c>
      <c r="H28" s="138">
        <f>F28*G28</f>
        <v>78179.797500000001</v>
      </c>
      <c r="I28" s="160">
        <v>82329.45</v>
      </c>
      <c r="J28" s="159">
        <f>H28-I28</f>
        <v>-4149.6524999999965</v>
      </c>
      <c r="K28" s="98"/>
      <c r="L28" s="166">
        <f>J28+K28</f>
        <v>-4149.6524999999965</v>
      </c>
      <c r="M28" s="44" t="s">
        <v>123</v>
      </c>
    </row>
    <row r="29" spans="1:13" ht="37.5" customHeight="1" x14ac:dyDescent="0.25">
      <c r="A29" s="453" t="s">
        <v>64</v>
      </c>
      <c r="B29" s="454"/>
      <c r="C29" s="13"/>
      <c r="D29" s="103">
        <f>D28</f>
        <v>1560475</v>
      </c>
      <c r="E29" s="101">
        <f>+F29/D29</f>
        <v>1</v>
      </c>
      <c r="F29" s="103">
        <f>F28</f>
        <v>1560475</v>
      </c>
      <c r="G29" s="101">
        <f>+H29/F29</f>
        <v>5.0099999999999999E-2</v>
      </c>
      <c r="H29" s="103">
        <f>H28</f>
        <v>78179.797500000001</v>
      </c>
      <c r="I29" s="103">
        <f>I28</f>
        <v>82329.45</v>
      </c>
      <c r="J29" s="156">
        <f>J28</f>
        <v>-4149.6524999999965</v>
      </c>
      <c r="K29" s="20">
        <f>K28</f>
        <v>0</v>
      </c>
      <c r="L29" s="167">
        <f>J29+K29</f>
        <v>-4149.6524999999965</v>
      </c>
      <c r="M29" s="13"/>
    </row>
    <row r="30" spans="1:13" x14ac:dyDescent="0.25">
      <c r="A30" s="426" t="s">
        <v>65</v>
      </c>
      <c r="B30" s="427"/>
      <c r="C30" s="427"/>
      <c r="D30" s="427"/>
      <c r="E30" s="427"/>
      <c r="F30" s="427"/>
      <c r="G30" s="427"/>
      <c r="H30" s="427"/>
      <c r="I30" s="427"/>
      <c r="J30" s="427"/>
      <c r="K30" s="427"/>
      <c r="L30" s="427"/>
      <c r="M30" s="428"/>
    </row>
    <row r="31" spans="1:13" ht="98.1" customHeight="1" x14ac:dyDescent="0.25">
      <c r="A31" s="188" t="s">
        <v>16</v>
      </c>
      <c r="B31" s="108" t="s">
        <v>66</v>
      </c>
      <c r="C31" s="99"/>
      <c r="D31" s="62">
        <f>994*0.3</f>
        <v>298.2</v>
      </c>
      <c r="E31" s="59">
        <v>0.5</v>
      </c>
      <c r="F31" s="190">
        <f t="shared" ref="F31:F37" si="8">D31*E31</f>
        <v>149.1</v>
      </c>
      <c r="G31" s="182">
        <v>2</v>
      </c>
      <c r="H31" s="65">
        <f t="shared" ref="H31" si="9">F31*G31</f>
        <v>298.2</v>
      </c>
      <c r="I31" s="60">
        <v>0</v>
      </c>
      <c r="J31" s="172">
        <f>H31-I31</f>
        <v>298.2</v>
      </c>
      <c r="K31" s="122"/>
      <c r="L31" s="186">
        <f>J31+K31</f>
        <v>298.2</v>
      </c>
      <c r="M31" s="125" t="s">
        <v>124</v>
      </c>
    </row>
    <row r="32" spans="1:13" ht="38.25" x14ac:dyDescent="0.25">
      <c r="A32" s="107" t="s">
        <v>25</v>
      </c>
      <c r="B32" s="108" t="s">
        <v>27</v>
      </c>
      <c r="C32" s="91"/>
      <c r="D32" s="92">
        <f>19884*0.1</f>
        <v>1988.4</v>
      </c>
      <c r="E32" s="92">
        <v>1</v>
      </c>
      <c r="F32" s="191">
        <f t="shared" si="8"/>
        <v>1988.4</v>
      </c>
      <c r="G32" s="183">
        <v>2</v>
      </c>
      <c r="H32" s="105">
        <f t="shared" ref="H32:H37" si="10">F32*G32</f>
        <v>3976.8</v>
      </c>
      <c r="I32" s="92">
        <v>0</v>
      </c>
      <c r="J32" s="92"/>
      <c r="K32" s="120">
        <f>H32-I32</f>
        <v>3976.8</v>
      </c>
      <c r="L32" s="128">
        <f t="shared" ref="L32:L37" si="11">J32+K32</f>
        <v>3976.8</v>
      </c>
      <c r="M32" s="124" t="s">
        <v>121</v>
      </c>
    </row>
    <row r="33" spans="1:98" s="1" customFormat="1" ht="38.25" x14ac:dyDescent="0.25">
      <c r="A33" s="109" t="s">
        <v>68</v>
      </c>
      <c r="B33" s="110" t="s">
        <v>69</v>
      </c>
      <c r="C33" s="91"/>
      <c r="D33" s="92">
        <v>500</v>
      </c>
      <c r="E33" s="92">
        <v>1</v>
      </c>
      <c r="F33" s="192">
        <f t="shared" si="8"/>
        <v>500</v>
      </c>
      <c r="G33" s="183">
        <v>0.5</v>
      </c>
      <c r="H33" s="105">
        <f t="shared" si="10"/>
        <v>250</v>
      </c>
      <c r="I33" s="92"/>
      <c r="J33" s="92"/>
      <c r="K33" s="120">
        <f>H33-I33</f>
        <v>250</v>
      </c>
      <c r="L33" s="128">
        <f t="shared" si="11"/>
        <v>250</v>
      </c>
      <c r="M33" s="124" t="s">
        <v>121</v>
      </c>
    </row>
    <row r="34" spans="1:98" s="1" customFormat="1" ht="51" x14ac:dyDescent="0.25">
      <c r="A34" s="78" t="s">
        <v>125</v>
      </c>
      <c r="B34" s="61" t="s">
        <v>71</v>
      </c>
      <c r="C34" s="80"/>
      <c r="D34" s="81">
        <v>9942</v>
      </c>
      <c r="E34" s="82">
        <v>1</v>
      </c>
      <c r="F34" s="83">
        <f t="shared" si="8"/>
        <v>9942</v>
      </c>
      <c r="G34" s="184">
        <v>8.3500000000000005E-2</v>
      </c>
      <c r="H34" s="84">
        <f t="shared" si="10"/>
        <v>830.15700000000004</v>
      </c>
      <c r="I34" s="100">
        <v>1048.76</v>
      </c>
      <c r="J34" s="85">
        <f>H34-I34</f>
        <v>-218.60299999999995</v>
      </c>
      <c r="K34" s="121"/>
      <c r="L34" s="168">
        <f t="shared" si="11"/>
        <v>-218.60299999999995</v>
      </c>
      <c r="M34" s="86" t="s">
        <v>120</v>
      </c>
    </row>
    <row r="35" spans="1:98" s="1" customFormat="1" ht="38.25" x14ac:dyDescent="0.25">
      <c r="A35" s="111" t="s">
        <v>28</v>
      </c>
      <c r="B35" s="112" t="s">
        <v>72</v>
      </c>
      <c r="C35" s="58"/>
      <c r="D35" s="62">
        <f>397.68*0.02</f>
        <v>7.9536000000000007</v>
      </c>
      <c r="E35" s="59">
        <v>1</v>
      </c>
      <c r="F35" s="47">
        <f t="shared" si="8"/>
        <v>7.9536000000000007</v>
      </c>
      <c r="G35" s="182">
        <v>2</v>
      </c>
      <c r="H35" s="65">
        <f t="shared" si="10"/>
        <v>15.907200000000001</v>
      </c>
      <c r="I35" s="60">
        <v>0</v>
      </c>
      <c r="J35" s="77"/>
      <c r="K35" s="187">
        <f>H35-I35</f>
        <v>15.907200000000001</v>
      </c>
      <c r="L35" s="186">
        <f t="shared" si="11"/>
        <v>15.907200000000001</v>
      </c>
      <c r="M35" s="124" t="s">
        <v>121</v>
      </c>
    </row>
    <row r="36" spans="1:98" s="170" customFormat="1" ht="38.25" x14ac:dyDescent="0.25">
      <c r="A36" s="56" t="s">
        <v>31</v>
      </c>
      <c r="B36" s="106" t="s">
        <v>33</v>
      </c>
      <c r="C36" s="99"/>
      <c r="D36" s="59">
        <f>19884*0.9</f>
        <v>17895.600000000002</v>
      </c>
      <c r="E36" s="59">
        <v>1</v>
      </c>
      <c r="F36" s="193">
        <f t="shared" si="8"/>
        <v>17895.600000000002</v>
      </c>
      <c r="G36" s="182">
        <v>2</v>
      </c>
      <c r="H36" s="65">
        <f t="shared" si="10"/>
        <v>35791.200000000004</v>
      </c>
      <c r="I36" s="60">
        <v>0</v>
      </c>
      <c r="J36" s="77"/>
      <c r="K36" s="187">
        <v>35791</v>
      </c>
      <c r="L36" s="186">
        <f t="shared" si="11"/>
        <v>35791</v>
      </c>
      <c r="M36" s="125" t="s">
        <v>121</v>
      </c>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M36" s="177"/>
      <c r="BN36" s="177"/>
      <c r="BO36" s="177"/>
      <c r="BP36" s="177"/>
      <c r="BQ36" s="177"/>
      <c r="BR36" s="177"/>
      <c r="BS36" s="177"/>
      <c r="BT36" s="177"/>
      <c r="BU36" s="177"/>
      <c r="BV36" s="177"/>
      <c r="BW36" s="177"/>
      <c r="BX36" s="177"/>
      <c r="BY36" s="177"/>
      <c r="BZ36" s="177"/>
      <c r="CA36" s="177"/>
      <c r="CB36" s="177"/>
      <c r="CC36" s="177"/>
      <c r="CD36" s="177"/>
      <c r="CE36" s="177"/>
      <c r="CF36" s="177"/>
      <c r="CG36" s="177"/>
      <c r="CH36" s="177"/>
      <c r="CI36" s="177"/>
      <c r="CJ36" s="177"/>
      <c r="CK36" s="177"/>
      <c r="CL36" s="177"/>
      <c r="CM36" s="177"/>
      <c r="CN36" s="177"/>
      <c r="CO36" s="177"/>
      <c r="CP36" s="177"/>
      <c r="CQ36" s="177"/>
      <c r="CR36" s="177"/>
      <c r="CS36" s="177"/>
      <c r="CT36" s="177"/>
    </row>
    <row r="37" spans="1:98" ht="41.1" customHeight="1" x14ac:dyDescent="0.25">
      <c r="A37" s="78" t="s">
        <v>73</v>
      </c>
      <c r="B37" s="79" t="s">
        <v>74</v>
      </c>
      <c r="C37" s="93"/>
      <c r="D37" s="94">
        <v>19884</v>
      </c>
      <c r="E37" s="95">
        <v>9</v>
      </c>
      <c r="F37" s="94">
        <f t="shared" si="8"/>
        <v>178956</v>
      </c>
      <c r="G37" s="185">
        <v>4</v>
      </c>
      <c r="H37" s="65">
        <f t="shared" si="10"/>
        <v>715824</v>
      </c>
      <c r="I37" s="96">
        <v>0</v>
      </c>
      <c r="J37" s="97"/>
      <c r="K37" s="123">
        <f>H37-I37</f>
        <v>715824</v>
      </c>
      <c r="L37" s="128">
        <f t="shared" si="11"/>
        <v>715824</v>
      </c>
      <c r="M37" s="125" t="s">
        <v>121</v>
      </c>
    </row>
    <row r="38" spans="1:98" ht="30.75" customHeight="1" x14ac:dyDescent="0.25">
      <c r="A38" s="453" t="s">
        <v>78</v>
      </c>
      <c r="B38" s="454"/>
      <c r="C38" s="13"/>
      <c r="D38" s="103">
        <f>19884+D31</f>
        <v>20182.2</v>
      </c>
      <c r="E38" s="101">
        <f>+F38/D38</f>
        <v>10.37741443450169</v>
      </c>
      <c r="F38" s="103">
        <f>SUM(F31:F37)</f>
        <v>209439.05360000001</v>
      </c>
      <c r="G38" s="101">
        <f>+H38/F38</f>
        <v>3.6143510543441453</v>
      </c>
      <c r="H38" s="103">
        <f>SUM(H31:H37)</f>
        <v>756986.26419999998</v>
      </c>
      <c r="I38" s="103">
        <f>SUM(I31:I37)</f>
        <v>1048.76</v>
      </c>
      <c r="J38" s="156">
        <f>SUM(J31:J37)</f>
        <v>79.597000000000037</v>
      </c>
      <c r="K38" s="157">
        <f>SUM(K31:K37)</f>
        <v>755857.70719999995</v>
      </c>
      <c r="L38" s="171">
        <f>SUM(L31:L37)</f>
        <v>755937.30420000001</v>
      </c>
      <c r="M38" s="126"/>
    </row>
    <row r="39" spans="1:98" x14ac:dyDescent="0.25">
      <c r="A39" s="455" t="s">
        <v>79</v>
      </c>
      <c r="B39" s="456"/>
      <c r="C39" s="64"/>
      <c r="D39" s="137">
        <f>SUM(D26+D29+D38)</f>
        <v>1581402</v>
      </c>
      <c r="E39" s="102">
        <f>F39/D39</f>
        <v>2.1157441520878306</v>
      </c>
      <c r="F39" s="137">
        <f>SUM(F26+F29+F38)</f>
        <v>3345842.0335999997</v>
      </c>
      <c r="G39" s="102">
        <f>+H39/F39</f>
        <v>0.37273960424788416</v>
      </c>
      <c r="H39" s="137">
        <f>SUM(H26+H29+H38)</f>
        <v>1247127.8354799999</v>
      </c>
      <c r="I39" s="137">
        <f>SUM(I26+I29+I38)</f>
        <v>515260.46</v>
      </c>
      <c r="J39" s="155">
        <f>SUM(J26+J29+J38)</f>
        <v>-29285.055499999995</v>
      </c>
      <c r="K39" s="158">
        <f>SUM(K38+K29+K26)</f>
        <v>761153.33097999997</v>
      </c>
      <c r="L39" s="171">
        <f>L38+L29+L26</f>
        <v>731868.27548000007</v>
      </c>
      <c r="M39" s="127"/>
    </row>
    <row r="40" spans="1:98" ht="14.45" customHeight="1" x14ac:dyDescent="0.25">
      <c r="A40" s="429" t="s">
        <v>80</v>
      </c>
      <c r="B40" s="430"/>
      <c r="C40" s="430"/>
      <c r="D40" s="430"/>
      <c r="E40" s="430"/>
      <c r="F40" s="430"/>
      <c r="G40" s="430"/>
      <c r="H40" s="430"/>
      <c r="I40" s="430"/>
      <c r="J40" s="430"/>
      <c r="K40" s="430"/>
      <c r="L40" s="430"/>
      <c r="M40" s="431"/>
    </row>
    <row r="41" spans="1:98" x14ac:dyDescent="0.25">
      <c r="A41" s="432" t="s">
        <v>81</v>
      </c>
      <c r="B41" s="433"/>
      <c r="C41" s="433"/>
      <c r="D41" s="433"/>
      <c r="E41" s="433"/>
      <c r="F41" s="433"/>
      <c r="G41" s="433"/>
      <c r="H41" s="433"/>
      <c r="I41" s="433"/>
      <c r="J41" s="433"/>
      <c r="K41" s="433"/>
      <c r="L41" s="433"/>
      <c r="M41" s="434"/>
    </row>
    <row r="42" spans="1:98" ht="38.25" x14ac:dyDescent="0.25">
      <c r="A42" s="113" t="s">
        <v>82</v>
      </c>
      <c r="B42" s="114" t="s">
        <v>83</v>
      </c>
      <c r="C42" s="89"/>
      <c r="D42" s="90">
        <v>49</v>
      </c>
      <c r="E42" s="90">
        <v>1</v>
      </c>
      <c r="F42" s="72">
        <f>D42*E42</f>
        <v>49</v>
      </c>
      <c r="G42" s="90">
        <v>0.16700000000000001</v>
      </c>
      <c r="H42" s="104">
        <f>F42*G42</f>
        <v>8.1829999999999998</v>
      </c>
      <c r="I42" s="90">
        <v>0</v>
      </c>
      <c r="J42" s="89"/>
      <c r="K42" s="129">
        <v>8</v>
      </c>
      <c r="L42" s="90">
        <f>J42+K42</f>
        <v>8</v>
      </c>
      <c r="M42" s="125" t="s">
        <v>121</v>
      </c>
    </row>
    <row r="43" spans="1:98" ht="25.5" x14ac:dyDescent="0.25">
      <c r="A43" s="56">
        <v>248.9</v>
      </c>
      <c r="B43" s="61" t="s">
        <v>84</v>
      </c>
      <c r="C43" s="61"/>
      <c r="D43" s="62">
        <v>49</v>
      </c>
      <c r="E43" s="59">
        <f>1560475/49</f>
        <v>31846.428571428572</v>
      </c>
      <c r="F43" s="104">
        <f t="shared" ref="F43:F52" si="12">D43*E43</f>
        <v>1560475</v>
      </c>
      <c r="G43" s="62">
        <v>0.25</v>
      </c>
      <c r="H43" s="104">
        <f t="shared" ref="H43:H52" si="13">F43*G43</f>
        <v>390118.75</v>
      </c>
      <c r="I43" s="153">
        <v>411647.25</v>
      </c>
      <c r="J43" s="154">
        <f>+H43-I43</f>
        <v>-21528.5</v>
      </c>
      <c r="K43" s="130"/>
      <c r="L43" s="169">
        <f t="shared" ref="L43:L53" si="14">J43+K43</f>
        <v>-21528.5</v>
      </c>
      <c r="M43" s="125" t="s">
        <v>126</v>
      </c>
    </row>
    <row r="44" spans="1:98" ht="38.25" x14ac:dyDescent="0.25">
      <c r="A44" s="56" t="s">
        <v>25</v>
      </c>
      <c r="B44" s="61" t="s">
        <v>86</v>
      </c>
      <c r="C44" s="61"/>
      <c r="D44" s="62">
        <v>49</v>
      </c>
      <c r="E44" s="62">
        <v>1</v>
      </c>
      <c r="F44" s="72">
        <f t="shared" si="12"/>
        <v>49</v>
      </c>
      <c r="G44" s="62">
        <v>2</v>
      </c>
      <c r="H44" s="104">
        <f t="shared" si="13"/>
        <v>98</v>
      </c>
      <c r="I44" s="73">
        <v>0</v>
      </c>
      <c r="J44" s="73"/>
      <c r="K44" s="130">
        <f>H44-I44</f>
        <v>98</v>
      </c>
      <c r="L44" s="90">
        <f t="shared" si="14"/>
        <v>98</v>
      </c>
      <c r="M44" s="125" t="s">
        <v>121</v>
      </c>
    </row>
    <row r="45" spans="1:98" x14ac:dyDescent="0.25">
      <c r="A45" s="56" t="s">
        <v>125</v>
      </c>
      <c r="B45" s="61" t="s">
        <v>71</v>
      </c>
      <c r="C45" s="48"/>
      <c r="D45" s="63">
        <v>49</v>
      </c>
      <c r="E45" s="63">
        <v>1</v>
      </c>
      <c r="F45" s="104">
        <f t="shared" si="12"/>
        <v>49</v>
      </c>
      <c r="G45" s="63">
        <v>2</v>
      </c>
      <c r="H45" s="104">
        <f t="shared" si="13"/>
        <v>98</v>
      </c>
      <c r="I45" s="74">
        <v>98</v>
      </c>
      <c r="J45" s="74">
        <f t="shared" ref="J45:J52" si="15">+H45-I45</f>
        <v>0</v>
      </c>
      <c r="K45" s="87"/>
      <c r="L45" s="90">
        <f t="shared" si="14"/>
        <v>0</v>
      </c>
      <c r="M45" s="131" t="s">
        <v>30</v>
      </c>
    </row>
    <row r="46" spans="1:98" ht="38.25" x14ac:dyDescent="0.25">
      <c r="A46" s="56" t="s">
        <v>28</v>
      </c>
      <c r="B46" s="58" t="s">
        <v>87</v>
      </c>
      <c r="C46" s="48"/>
      <c r="D46" s="63">
        <v>49</v>
      </c>
      <c r="E46" s="63">
        <v>1</v>
      </c>
      <c r="F46" s="72">
        <f t="shared" si="12"/>
        <v>49</v>
      </c>
      <c r="G46" s="63">
        <v>0.16700000000000001</v>
      </c>
      <c r="H46" s="104">
        <f t="shared" si="13"/>
        <v>8.1829999999999998</v>
      </c>
      <c r="I46" s="74">
        <v>0</v>
      </c>
      <c r="J46" s="74"/>
      <c r="K46" s="87">
        <v>8</v>
      </c>
      <c r="L46" s="90">
        <f t="shared" si="14"/>
        <v>8</v>
      </c>
      <c r="M46" s="124" t="s">
        <v>121</v>
      </c>
    </row>
    <row r="47" spans="1:98" ht="25.5" x14ac:dyDescent="0.25">
      <c r="A47" s="56" t="s">
        <v>88</v>
      </c>
      <c r="B47" s="61" t="s">
        <v>89</v>
      </c>
      <c r="C47" s="48"/>
      <c r="D47" s="63">
        <v>49</v>
      </c>
      <c r="E47" s="63">
        <f>(19884/49)*0.1</f>
        <v>40.579591836734693</v>
      </c>
      <c r="F47" s="72">
        <f t="shared" si="12"/>
        <v>1988.3999999999999</v>
      </c>
      <c r="G47" s="63">
        <v>0.5</v>
      </c>
      <c r="H47" s="104">
        <f t="shared" si="13"/>
        <v>994.19999999999993</v>
      </c>
      <c r="I47" s="74">
        <v>98</v>
      </c>
      <c r="J47" s="74">
        <f>+H47-I47</f>
        <v>896.19999999999993</v>
      </c>
      <c r="K47" s="87"/>
      <c r="L47" s="90">
        <f t="shared" si="14"/>
        <v>896.19999999999993</v>
      </c>
      <c r="M47" s="131" t="s">
        <v>127</v>
      </c>
    </row>
    <row r="48" spans="1:98" ht="38.25" x14ac:dyDescent="0.25">
      <c r="A48" s="56" t="s">
        <v>36</v>
      </c>
      <c r="B48" s="54" t="s">
        <v>37</v>
      </c>
      <c r="C48" s="48"/>
      <c r="D48" s="63">
        <v>49</v>
      </c>
      <c r="E48" s="63">
        <f>(994/49)*0.5</f>
        <v>10.142857142857142</v>
      </c>
      <c r="F48" s="72">
        <f t="shared" si="12"/>
        <v>497</v>
      </c>
      <c r="G48" s="63">
        <v>0.5</v>
      </c>
      <c r="H48" s="104">
        <f t="shared" si="13"/>
        <v>248.5</v>
      </c>
      <c r="I48" s="74">
        <v>0</v>
      </c>
      <c r="J48" s="74"/>
      <c r="K48" s="87">
        <v>248</v>
      </c>
      <c r="L48" s="90">
        <v>248.5</v>
      </c>
      <c r="M48" s="124" t="s">
        <v>121</v>
      </c>
    </row>
    <row r="49" spans="1:13" ht="29.45" customHeight="1" x14ac:dyDescent="0.25">
      <c r="A49" s="53" t="s">
        <v>90</v>
      </c>
      <c r="B49" s="48" t="s">
        <v>91</v>
      </c>
      <c r="C49" s="49" t="s">
        <v>92</v>
      </c>
      <c r="D49" s="63">
        <v>49</v>
      </c>
      <c r="E49" s="63">
        <v>1</v>
      </c>
      <c r="F49" s="104">
        <f t="shared" si="12"/>
        <v>49</v>
      </c>
      <c r="G49" s="63">
        <v>2</v>
      </c>
      <c r="H49" s="104">
        <f t="shared" si="13"/>
        <v>98</v>
      </c>
      <c r="I49" s="74">
        <v>98</v>
      </c>
      <c r="J49" s="74">
        <f t="shared" si="15"/>
        <v>0</v>
      </c>
      <c r="K49" s="87"/>
      <c r="L49" s="90">
        <f t="shared" si="14"/>
        <v>0</v>
      </c>
      <c r="M49" s="132" t="s">
        <v>30</v>
      </c>
    </row>
    <row r="50" spans="1:13" x14ac:dyDescent="0.25">
      <c r="A50" s="53" t="s">
        <v>93</v>
      </c>
      <c r="B50" s="48" t="s">
        <v>94</v>
      </c>
      <c r="C50" s="48"/>
      <c r="D50" s="63">
        <v>49</v>
      </c>
      <c r="E50" s="63">
        <v>1</v>
      </c>
      <c r="F50" s="104">
        <f t="shared" si="12"/>
        <v>49</v>
      </c>
      <c r="G50" s="63">
        <v>1</v>
      </c>
      <c r="H50" s="104">
        <f t="shared" si="13"/>
        <v>49</v>
      </c>
      <c r="I50" s="74">
        <v>49</v>
      </c>
      <c r="J50" s="74">
        <f t="shared" si="15"/>
        <v>0</v>
      </c>
      <c r="K50" s="87"/>
      <c r="L50" s="90">
        <f t="shared" si="14"/>
        <v>0</v>
      </c>
      <c r="M50" s="133" t="s">
        <v>30</v>
      </c>
    </row>
    <row r="51" spans="1:13" ht="38.25" x14ac:dyDescent="0.25">
      <c r="A51" s="53" t="s">
        <v>53</v>
      </c>
      <c r="B51" s="48" t="s">
        <v>95</v>
      </c>
      <c r="C51" s="48"/>
      <c r="D51" s="63">
        <v>49</v>
      </c>
      <c r="E51" s="63">
        <v>1</v>
      </c>
      <c r="F51" s="72">
        <f t="shared" si="12"/>
        <v>49</v>
      </c>
      <c r="G51" s="63">
        <v>2</v>
      </c>
      <c r="H51" s="104">
        <f t="shared" si="13"/>
        <v>98</v>
      </c>
      <c r="I51" s="74">
        <v>0</v>
      </c>
      <c r="J51" s="74">
        <v>0</v>
      </c>
      <c r="K51" s="87">
        <f>H51-I51</f>
        <v>98</v>
      </c>
      <c r="L51" s="90">
        <f t="shared" ref="L51" si="16">J51+K51</f>
        <v>98</v>
      </c>
      <c r="M51" s="124" t="s">
        <v>121</v>
      </c>
    </row>
    <row r="52" spans="1:13" ht="14.45" customHeight="1" x14ac:dyDescent="0.25">
      <c r="A52" s="53" t="s">
        <v>96</v>
      </c>
      <c r="B52" s="48" t="s">
        <v>97</v>
      </c>
      <c r="C52" s="48"/>
      <c r="D52" s="63">
        <v>49</v>
      </c>
      <c r="E52" s="63">
        <v>1</v>
      </c>
      <c r="F52" s="104">
        <f t="shared" si="12"/>
        <v>49</v>
      </c>
      <c r="G52" s="63">
        <v>40</v>
      </c>
      <c r="H52" s="104">
        <f t="shared" si="13"/>
        <v>1960</v>
      </c>
      <c r="I52" s="74">
        <v>1960</v>
      </c>
      <c r="J52" s="74">
        <f t="shared" si="15"/>
        <v>0</v>
      </c>
      <c r="K52" s="87"/>
      <c r="L52" s="90">
        <f t="shared" si="14"/>
        <v>0</v>
      </c>
      <c r="M52" s="131" t="s">
        <v>30</v>
      </c>
    </row>
    <row r="53" spans="1:13" ht="14.45" customHeight="1" x14ac:dyDescent="0.25">
      <c r="A53" s="422" t="s">
        <v>98</v>
      </c>
      <c r="B53" s="423"/>
      <c r="C53" s="66"/>
      <c r="D53" s="68">
        <f>49</f>
        <v>49</v>
      </c>
      <c r="E53" s="136">
        <f>+F53/D53</f>
        <v>31905.151020408161</v>
      </c>
      <c r="F53" s="136">
        <f>SUM(F42:F52)</f>
        <v>1563352.4</v>
      </c>
      <c r="G53" s="68">
        <f>+H53/F53</f>
        <v>0.25188103206928908</v>
      </c>
      <c r="H53" s="136">
        <f>SUM(H42:H52)</f>
        <v>393778.81600000005</v>
      </c>
      <c r="I53" s="136">
        <f>SUM(I42:I52)</f>
        <v>413950.25</v>
      </c>
      <c r="J53" s="139">
        <f>SUM(J42:J52)</f>
        <v>-20632.3</v>
      </c>
      <c r="K53" s="68">
        <f>SUM(K42:K52)</f>
        <v>460</v>
      </c>
      <c r="L53" s="141">
        <f t="shared" si="14"/>
        <v>-20172.3</v>
      </c>
      <c r="M53" s="16"/>
    </row>
    <row r="54" spans="1:13" x14ac:dyDescent="0.25">
      <c r="A54" s="451" t="s">
        <v>99</v>
      </c>
      <c r="B54" s="452"/>
      <c r="C54" s="32"/>
      <c r="D54" s="176">
        <f>D39</f>
        <v>1581402</v>
      </c>
      <c r="E54" s="69">
        <f>F54/D54</f>
        <v>3.1043304824453233</v>
      </c>
      <c r="F54" s="134">
        <f>SUM(F39+F53)</f>
        <v>4909194.4335999992</v>
      </c>
      <c r="G54" s="69">
        <f>H54/F54</f>
        <v>0.33425171352944238</v>
      </c>
      <c r="H54" s="134">
        <f>SUM(H39+H53)</f>
        <v>1640906.65148</v>
      </c>
      <c r="I54" s="135">
        <f>SUM(I39+I53)</f>
        <v>929210.71</v>
      </c>
      <c r="J54" s="140">
        <f>SUM(J53+J39)</f>
        <v>-49917.355499999991</v>
      </c>
      <c r="K54" s="134">
        <f>SUM(K39+K53)</f>
        <v>761613.33097999997</v>
      </c>
      <c r="L54" s="173">
        <f>J54+K54</f>
        <v>711695.97548000002</v>
      </c>
      <c r="M54" s="33"/>
    </row>
    <row r="55" spans="1:13" x14ac:dyDescent="0.25">
      <c r="A55" s="76" t="s">
        <v>128</v>
      </c>
      <c r="D55" s="19"/>
    </row>
    <row r="56" spans="1:13" ht="15.75" thickBot="1" x14ac:dyDescent="0.3">
      <c r="D56" s="22"/>
      <c r="E56" s="23"/>
      <c r="F56" s="22"/>
      <c r="G56" s="23"/>
      <c r="H56" s="22"/>
      <c r="I56" s="22"/>
      <c r="J56" s="22"/>
      <c r="K56" s="22"/>
      <c r="L56" s="22"/>
    </row>
    <row r="57" spans="1:13" ht="39" thickBot="1" x14ac:dyDescent="0.3">
      <c r="B57" s="34" t="s">
        <v>101</v>
      </c>
      <c r="C57" s="34" t="s">
        <v>102</v>
      </c>
      <c r="D57" s="34" t="s">
        <v>103</v>
      </c>
      <c r="E57" s="34" t="s">
        <v>104</v>
      </c>
      <c r="F57" s="35" t="s">
        <v>105</v>
      </c>
      <c r="G57" s="36" t="s">
        <v>106</v>
      </c>
      <c r="I57" s="26"/>
      <c r="J57" s="29"/>
    </row>
    <row r="58" spans="1:13" x14ac:dyDescent="0.25">
      <c r="B58" s="37" t="s">
        <v>107</v>
      </c>
      <c r="C58" s="145">
        <f>+D39</f>
        <v>1581402</v>
      </c>
      <c r="D58" s="115">
        <f>+E58/C58</f>
        <v>2.1157441520878306</v>
      </c>
      <c r="E58" s="145">
        <f>+F39</f>
        <v>3345842.0335999997</v>
      </c>
      <c r="F58" s="115">
        <f>+G58/E58</f>
        <v>0.37273960424788416</v>
      </c>
      <c r="G58" s="142">
        <f>+H39</f>
        <v>1247127.8354799999</v>
      </c>
    </row>
    <row r="59" spans="1:13" ht="15.75" thickBot="1" x14ac:dyDescent="0.3">
      <c r="B59" s="38" t="s">
        <v>108</v>
      </c>
      <c r="C59" s="116">
        <f>+D53</f>
        <v>49</v>
      </c>
      <c r="D59" s="179">
        <f>+E59/C59</f>
        <v>31905.151020408161</v>
      </c>
      <c r="E59" s="146">
        <f>+F53</f>
        <v>1563352.4</v>
      </c>
      <c r="F59" s="117">
        <f>+G59/E59</f>
        <v>0.25188103206928908</v>
      </c>
      <c r="G59" s="143">
        <f>+H53</f>
        <v>393778.81600000005</v>
      </c>
    </row>
    <row r="60" spans="1:13" ht="15.75" thickBot="1" x14ac:dyDescent="0.3">
      <c r="B60" s="39" t="s">
        <v>109</v>
      </c>
      <c r="C60" s="174">
        <f>D54</f>
        <v>1581402</v>
      </c>
      <c r="D60" s="118">
        <f>+E60/C60</f>
        <v>3.1043304824453233</v>
      </c>
      <c r="E60" s="147">
        <f>SUM(E58:E59)</f>
        <v>4909194.4335999992</v>
      </c>
      <c r="F60" s="119">
        <f>+G60/E60</f>
        <v>0.33425171352944238</v>
      </c>
      <c r="G60" s="144">
        <f>SUM(G58:G59)</f>
        <v>1640906.65148</v>
      </c>
      <c r="J60" s="22"/>
    </row>
    <row r="61" spans="1:13" ht="15.75" thickBot="1" x14ac:dyDescent="0.3">
      <c r="B61" s="2"/>
      <c r="C61" s="3"/>
      <c r="D61" s="4"/>
      <c r="E61" s="5"/>
      <c r="F61" s="6"/>
      <c r="G61" s="5"/>
      <c r="J61" s="30"/>
    </row>
    <row r="62" spans="1:13" ht="15.75" thickBot="1" x14ac:dyDescent="0.3">
      <c r="B62" s="40"/>
      <c r="C62" s="34" t="s">
        <v>110</v>
      </c>
      <c r="D62" s="41" t="s">
        <v>111</v>
      </c>
    </row>
    <row r="63" spans="1:13" x14ac:dyDescent="0.25">
      <c r="B63" s="42" t="s">
        <v>112</v>
      </c>
      <c r="C63" s="148">
        <v>4968339</v>
      </c>
      <c r="D63" s="149">
        <f>I54</f>
        <v>929210.71</v>
      </c>
      <c r="E63" s="7"/>
      <c r="F63" s="8"/>
      <c r="G63" s="24"/>
    </row>
    <row r="64" spans="1:13" x14ac:dyDescent="0.25">
      <c r="B64" s="43" t="s">
        <v>113</v>
      </c>
      <c r="C64" s="150">
        <f>+E60</f>
        <v>4909194.4335999992</v>
      </c>
      <c r="D64" s="151">
        <f>+G60</f>
        <v>1640906.65148</v>
      </c>
      <c r="E64" s="7"/>
      <c r="F64" s="8"/>
      <c r="G64" s="25"/>
    </row>
    <row r="65" spans="1:14" ht="15.75" thickBot="1" x14ac:dyDescent="0.3">
      <c r="B65" s="9" t="s">
        <v>114</v>
      </c>
      <c r="C65" s="152">
        <f>+C64-C63</f>
        <v>-59144.566400000826</v>
      </c>
      <c r="D65" s="175">
        <v>711695.98</v>
      </c>
      <c r="E65" s="7"/>
      <c r="F65" s="8"/>
      <c r="G65" s="7"/>
    </row>
    <row r="66" spans="1:14" x14ac:dyDescent="0.25">
      <c r="I66" s="19"/>
    </row>
    <row r="67" spans="1:14" x14ac:dyDescent="0.25">
      <c r="N67" s="28"/>
    </row>
    <row r="68" spans="1:14" x14ac:dyDescent="0.25">
      <c r="I68" s="189"/>
      <c r="J68" s="189"/>
      <c r="N68" s="28"/>
    </row>
    <row r="69" spans="1:14" x14ac:dyDescent="0.25">
      <c r="A69"/>
      <c r="N69" s="28"/>
    </row>
    <row r="70" spans="1:14" x14ac:dyDescent="0.25">
      <c r="N70" s="28"/>
    </row>
  </sheetData>
  <mergeCells count="14">
    <mergeCell ref="A1:M1"/>
    <mergeCell ref="A54:B54"/>
    <mergeCell ref="A30:M30"/>
    <mergeCell ref="A38:B38"/>
    <mergeCell ref="A39:B39"/>
    <mergeCell ref="A40:M40"/>
    <mergeCell ref="A41:M41"/>
    <mergeCell ref="A53:B53"/>
    <mergeCell ref="A29:B29"/>
    <mergeCell ref="A2:M2"/>
    <mergeCell ref="A4:M4"/>
    <mergeCell ref="A5:M5"/>
    <mergeCell ref="A26:B26"/>
    <mergeCell ref="A27:M27"/>
  </mergeCells>
  <pageMargins left="0.7" right="0.7" top="0.75" bottom="0.75" header="0.3" footer="0.3"/>
  <pageSetup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5BE50-23D2-4FD9-A9DD-4D26B51853B6}">
  <sheetPr>
    <pageSetUpPr fitToPage="1"/>
  </sheetPr>
  <dimension ref="A1:M65"/>
  <sheetViews>
    <sheetView zoomScale="70" zoomScaleNormal="70" workbookViewId="0">
      <pane ySplit="2" topLeftCell="A3" activePane="bottomLeft" state="frozen"/>
      <selection pane="bottomLeft" activeCell="F7" sqref="F7"/>
    </sheetView>
  </sheetViews>
  <sheetFormatPr defaultColWidth="9.140625" defaultRowHeight="15" x14ac:dyDescent="0.25"/>
  <cols>
    <col min="1" max="1" width="17.42578125" style="17" customWidth="1"/>
    <col min="2" max="2" width="41.7109375" style="18" customWidth="1"/>
    <col min="3" max="3" width="13.7109375" style="18" customWidth="1"/>
    <col min="4" max="4" width="15.28515625" style="18" customWidth="1"/>
    <col min="5" max="5" width="21.5703125" style="18" customWidth="1"/>
    <col min="6" max="6" width="17.28515625" style="18" customWidth="1"/>
    <col min="7" max="7" width="14" style="18" bestFit="1" customWidth="1"/>
    <col min="8" max="8" width="13.7109375" style="18" customWidth="1"/>
    <col min="9" max="9" width="15.42578125" style="18" customWidth="1"/>
    <col min="10" max="10" width="16.85546875" style="18" customWidth="1"/>
    <col min="11" max="11" width="12.7109375" style="18" customWidth="1"/>
    <col min="12" max="12" width="21.140625" style="18" customWidth="1"/>
    <col min="13" max="13" width="3.28515625" customWidth="1"/>
  </cols>
  <sheetData>
    <row r="1" spans="1:12" s="10" customFormat="1" ht="18" x14ac:dyDescent="0.25">
      <c r="A1" s="442" t="s">
        <v>0</v>
      </c>
      <c r="B1" s="442"/>
      <c r="C1" s="442"/>
      <c r="D1" s="442"/>
      <c r="E1" s="442"/>
      <c r="F1" s="442"/>
      <c r="G1" s="442"/>
      <c r="H1" s="442"/>
      <c r="I1" s="442"/>
      <c r="J1" s="442"/>
      <c r="K1" s="442"/>
      <c r="L1" s="442"/>
    </row>
    <row r="2" spans="1:12" s="10" customFormat="1" ht="120.6" customHeight="1" x14ac:dyDescent="0.25">
      <c r="A2" s="11" t="s">
        <v>1</v>
      </c>
      <c r="B2" s="11" t="s">
        <v>2</v>
      </c>
      <c r="C2" s="12" t="s">
        <v>3</v>
      </c>
      <c r="D2" s="11" t="s">
        <v>4</v>
      </c>
      <c r="E2" s="11" t="s">
        <v>5</v>
      </c>
      <c r="F2" s="14" t="s">
        <v>6</v>
      </c>
      <c r="G2" s="11" t="s">
        <v>7</v>
      </c>
      <c r="H2" s="14" t="s">
        <v>8</v>
      </c>
      <c r="I2" s="11" t="s">
        <v>9</v>
      </c>
      <c r="J2" s="11" t="s">
        <v>10</v>
      </c>
      <c r="K2" s="11" t="s">
        <v>11</v>
      </c>
      <c r="L2" s="11" t="s">
        <v>13</v>
      </c>
    </row>
    <row r="3" spans="1:12" s="10" customFormat="1" x14ac:dyDescent="0.25">
      <c r="A3" s="429" t="s">
        <v>14</v>
      </c>
      <c r="B3" s="457"/>
      <c r="C3" s="457"/>
      <c r="D3" s="457"/>
      <c r="E3" s="457"/>
      <c r="F3" s="457"/>
      <c r="G3" s="457"/>
      <c r="H3" s="457"/>
      <c r="I3" s="457"/>
      <c r="J3" s="457"/>
      <c r="K3" s="457"/>
      <c r="L3" s="458"/>
    </row>
    <row r="4" spans="1:12" s="10" customFormat="1" x14ac:dyDescent="0.25">
      <c r="A4" s="446" t="s">
        <v>15</v>
      </c>
      <c r="B4" s="446"/>
      <c r="C4" s="446"/>
      <c r="D4" s="446"/>
      <c r="E4" s="446"/>
      <c r="F4" s="446"/>
      <c r="G4" s="446"/>
      <c r="H4" s="446"/>
      <c r="I4" s="446"/>
      <c r="J4" s="446"/>
      <c r="K4" s="446"/>
      <c r="L4" s="446"/>
    </row>
    <row r="5" spans="1:12" ht="224.25" customHeight="1" x14ac:dyDescent="0.25">
      <c r="A5" s="53" t="s">
        <v>129</v>
      </c>
      <c r="B5" s="54" t="s">
        <v>17</v>
      </c>
      <c r="C5" s="49"/>
      <c r="D5" s="154">
        <f>(49*20)</f>
        <v>980</v>
      </c>
      <c r="E5" s="199">
        <v>0.5</v>
      </c>
      <c r="F5" s="200">
        <f>D5*E5</f>
        <v>490</v>
      </c>
      <c r="G5" s="199">
        <v>2</v>
      </c>
      <c r="H5" s="200">
        <f>F5*G5</f>
        <v>980</v>
      </c>
      <c r="I5" s="201">
        <v>0</v>
      </c>
      <c r="J5" s="199">
        <f>H5-I5</f>
        <v>980</v>
      </c>
      <c r="K5" s="15"/>
      <c r="L5" s="44" t="s">
        <v>130</v>
      </c>
    </row>
    <row r="6" spans="1:12" ht="68.25" customHeight="1" x14ac:dyDescent="0.25">
      <c r="A6" s="53">
        <v>248.4</v>
      </c>
      <c r="B6" s="57" t="s">
        <v>19</v>
      </c>
      <c r="C6" s="51"/>
      <c r="D6" s="199">
        <v>49</v>
      </c>
      <c r="E6" s="199">
        <v>1</v>
      </c>
      <c r="F6" s="200">
        <f t="shared" ref="F6:F14" si="0">D6*E6</f>
        <v>49</v>
      </c>
      <c r="G6" s="199">
        <v>40</v>
      </c>
      <c r="H6" s="200">
        <f t="shared" ref="H6:H14" si="1">F6*G6</f>
        <v>1960</v>
      </c>
      <c r="I6" s="199">
        <v>1880</v>
      </c>
      <c r="J6" s="199">
        <f t="shared" ref="J6:J14" si="2">H6-I6</f>
        <v>80</v>
      </c>
      <c r="K6" s="15"/>
      <c r="L6" s="45" t="s">
        <v>131</v>
      </c>
    </row>
    <row r="7" spans="1:12" ht="155.25" customHeight="1" x14ac:dyDescent="0.25">
      <c r="A7" s="53" t="s">
        <v>132</v>
      </c>
      <c r="B7" s="54" t="s">
        <v>22</v>
      </c>
      <c r="C7" s="49"/>
      <c r="D7" s="199">
        <v>49</v>
      </c>
      <c r="E7" s="199">
        <f>1646589/49</f>
        <v>33603.857142857145</v>
      </c>
      <c r="F7" s="200">
        <f>D7*E7</f>
        <v>1646589</v>
      </c>
      <c r="G7" s="199">
        <v>0.25</v>
      </c>
      <c r="H7" s="200">
        <f>F7*G7</f>
        <v>411647.25</v>
      </c>
      <c r="I7" s="199">
        <v>0</v>
      </c>
      <c r="J7" s="202">
        <f>H7-I7</f>
        <v>411647.25</v>
      </c>
      <c r="K7" s="31"/>
      <c r="L7" s="44" t="s">
        <v>133</v>
      </c>
    </row>
    <row r="8" spans="1:12" ht="51" x14ac:dyDescent="0.25">
      <c r="A8" s="53" t="s">
        <v>134</v>
      </c>
      <c r="B8" s="55" t="s">
        <v>24</v>
      </c>
      <c r="C8" s="50"/>
      <c r="D8" s="203">
        <v>49</v>
      </c>
      <c r="E8" s="203">
        <f>(12560/49)</f>
        <v>256.32653061224488</v>
      </c>
      <c r="F8" s="200">
        <f>D8*E8</f>
        <v>12560</v>
      </c>
      <c r="G8" s="203">
        <v>1</v>
      </c>
      <c r="H8" s="200">
        <f>F8*G8</f>
        <v>12560</v>
      </c>
      <c r="I8" s="203">
        <v>7851.69</v>
      </c>
      <c r="J8" s="204">
        <f>H8-I8</f>
        <v>4708.3100000000004</v>
      </c>
      <c r="K8" s="27"/>
      <c r="L8" s="45" t="s">
        <v>135</v>
      </c>
    </row>
    <row r="9" spans="1:12" ht="63.75" x14ac:dyDescent="0.25">
      <c r="A9" s="56" t="s">
        <v>136</v>
      </c>
      <c r="B9" s="54" t="s">
        <v>35</v>
      </c>
      <c r="C9" s="51"/>
      <c r="D9" s="154">
        <v>49</v>
      </c>
      <c r="E9" s="154">
        <f>((25120)/49)*0.1</f>
        <v>51.265306122448976</v>
      </c>
      <c r="F9" s="200">
        <f t="shared" si="0"/>
        <v>2512</v>
      </c>
      <c r="G9" s="154">
        <v>1.5</v>
      </c>
      <c r="H9" s="200">
        <f t="shared" si="1"/>
        <v>3768</v>
      </c>
      <c r="I9" s="154">
        <v>4758.6000000000004</v>
      </c>
      <c r="J9" s="154">
        <f t="shared" si="2"/>
        <v>-990.60000000000036</v>
      </c>
      <c r="K9" s="52"/>
      <c r="L9" s="44" t="s">
        <v>137</v>
      </c>
    </row>
    <row r="10" spans="1:12" ht="48.75" customHeight="1" x14ac:dyDescent="0.25">
      <c r="A10" s="53" t="s">
        <v>38</v>
      </c>
      <c r="B10" s="57" t="s">
        <v>39</v>
      </c>
      <c r="C10" s="46"/>
      <c r="D10" s="199">
        <v>49</v>
      </c>
      <c r="E10" s="199">
        <v>1</v>
      </c>
      <c r="F10" s="200">
        <f t="shared" si="0"/>
        <v>49</v>
      </c>
      <c r="G10" s="199">
        <v>5</v>
      </c>
      <c r="H10" s="200">
        <f t="shared" si="1"/>
        <v>245</v>
      </c>
      <c r="I10" s="199">
        <v>235</v>
      </c>
      <c r="J10" s="199">
        <f t="shared" si="2"/>
        <v>10</v>
      </c>
      <c r="K10" s="15"/>
      <c r="L10" s="45" t="s">
        <v>131</v>
      </c>
    </row>
    <row r="11" spans="1:12" ht="127.5" x14ac:dyDescent="0.25">
      <c r="A11" s="53" t="s">
        <v>40</v>
      </c>
      <c r="B11" s="54" t="s">
        <v>122</v>
      </c>
      <c r="C11" s="46"/>
      <c r="D11" s="199">
        <v>49</v>
      </c>
      <c r="E11" s="199">
        <v>1</v>
      </c>
      <c r="F11" s="200">
        <f t="shared" si="0"/>
        <v>49</v>
      </c>
      <c r="G11" s="199">
        <v>3</v>
      </c>
      <c r="H11" s="200">
        <f t="shared" si="1"/>
        <v>147</v>
      </c>
      <c r="I11" s="199">
        <v>0</v>
      </c>
      <c r="J11" s="199">
        <f t="shared" si="2"/>
        <v>147</v>
      </c>
      <c r="K11" s="15"/>
      <c r="L11" s="44" t="s">
        <v>138</v>
      </c>
    </row>
    <row r="12" spans="1:12" ht="25.5" x14ac:dyDescent="0.25">
      <c r="A12" s="53">
        <v>248.11</v>
      </c>
      <c r="B12" s="57" t="s">
        <v>139</v>
      </c>
      <c r="C12" s="57"/>
      <c r="D12" s="199">
        <v>49</v>
      </c>
      <c r="E12" s="199">
        <v>1</v>
      </c>
      <c r="F12" s="200">
        <f t="shared" si="0"/>
        <v>49</v>
      </c>
      <c r="G12" s="199">
        <v>10</v>
      </c>
      <c r="H12" s="200">
        <f t="shared" si="1"/>
        <v>490</v>
      </c>
      <c r="I12" s="199">
        <v>470</v>
      </c>
      <c r="J12" s="199">
        <f t="shared" si="2"/>
        <v>20</v>
      </c>
      <c r="K12" s="15"/>
      <c r="L12" s="45" t="s">
        <v>131</v>
      </c>
    </row>
    <row r="13" spans="1:12" ht="89.25" x14ac:dyDescent="0.25">
      <c r="A13" s="53" t="s">
        <v>55</v>
      </c>
      <c r="B13" s="57" t="s">
        <v>56</v>
      </c>
      <c r="C13" s="57"/>
      <c r="D13" s="199">
        <v>7</v>
      </c>
      <c r="E13" s="199">
        <v>1</v>
      </c>
      <c r="F13" s="200">
        <f t="shared" si="0"/>
        <v>7</v>
      </c>
      <c r="G13" s="199">
        <v>10</v>
      </c>
      <c r="H13" s="200">
        <f t="shared" si="1"/>
        <v>70</v>
      </c>
      <c r="I13" s="199">
        <v>90</v>
      </c>
      <c r="J13" s="199">
        <f t="shared" si="2"/>
        <v>-20</v>
      </c>
      <c r="K13" s="15"/>
      <c r="L13" s="45" t="s">
        <v>140</v>
      </c>
    </row>
    <row r="14" spans="1:12" ht="76.5" x14ac:dyDescent="0.25">
      <c r="A14" s="53" t="s">
        <v>59</v>
      </c>
      <c r="B14" s="57" t="s">
        <v>60</v>
      </c>
      <c r="C14" s="46"/>
      <c r="D14" s="199">
        <v>1</v>
      </c>
      <c r="E14" s="199">
        <v>1</v>
      </c>
      <c r="F14" s="200">
        <f t="shared" si="0"/>
        <v>1</v>
      </c>
      <c r="G14" s="199">
        <v>15</v>
      </c>
      <c r="H14" s="200">
        <f t="shared" si="1"/>
        <v>15</v>
      </c>
      <c r="I14" s="199">
        <v>195</v>
      </c>
      <c r="J14" s="199">
        <f t="shared" si="2"/>
        <v>-180</v>
      </c>
      <c r="K14" s="15"/>
      <c r="L14" s="45" t="s">
        <v>141</v>
      </c>
    </row>
    <row r="15" spans="1:12" s="1" customFormat="1" ht="42.75" customHeight="1" x14ac:dyDescent="0.25">
      <c r="A15" s="453" t="s">
        <v>142</v>
      </c>
      <c r="B15" s="459"/>
      <c r="C15" s="21"/>
      <c r="D15" s="155">
        <f>49+980</f>
        <v>1029</v>
      </c>
      <c r="E15" s="155">
        <f>+F15/D15</f>
        <v>1615.5053449951408</v>
      </c>
      <c r="F15" s="155">
        <f>SUM(F5:F14)</f>
        <v>1662355</v>
      </c>
      <c r="G15" s="155">
        <f>+H15/F15</f>
        <v>0.25980145636762303</v>
      </c>
      <c r="H15" s="155">
        <f>SUM(H5:H14)</f>
        <v>431882.25</v>
      </c>
      <c r="I15" s="155">
        <f>SUM(I5:I14)</f>
        <v>15480.289999999999</v>
      </c>
      <c r="J15" s="155">
        <f>SUM(J5:J14)</f>
        <v>416401.96</v>
      </c>
      <c r="K15" s="205">
        <f>SUM(K5:K14)</f>
        <v>0</v>
      </c>
      <c r="L15" s="13"/>
    </row>
    <row r="16" spans="1:12" ht="40.5" customHeight="1" x14ac:dyDescent="0.25">
      <c r="A16" s="432" t="s">
        <v>62</v>
      </c>
      <c r="B16" s="433"/>
      <c r="C16" s="433"/>
      <c r="D16" s="433"/>
      <c r="E16" s="433"/>
      <c r="F16" s="433"/>
      <c r="G16" s="433"/>
      <c r="H16" s="433"/>
      <c r="I16" s="433"/>
      <c r="J16" s="433"/>
      <c r="K16" s="433"/>
      <c r="L16" s="434"/>
    </row>
    <row r="17" spans="1:12" ht="140.25" x14ac:dyDescent="0.25">
      <c r="A17" s="206" t="s">
        <v>143</v>
      </c>
      <c r="B17" s="54" t="s">
        <v>22</v>
      </c>
      <c r="C17" s="48"/>
      <c r="D17" s="165">
        <v>1646589</v>
      </c>
      <c r="E17" s="165">
        <v>1</v>
      </c>
      <c r="F17" s="207">
        <f>D17*E17</f>
        <v>1646589</v>
      </c>
      <c r="G17" s="165">
        <v>0.05</v>
      </c>
      <c r="H17" s="207">
        <f>F17*G17</f>
        <v>82329.450000000012</v>
      </c>
      <c r="I17" s="201">
        <v>0</v>
      </c>
      <c r="J17" s="202">
        <f>H17-I17</f>
        <v>82329.450000000012</v>
      </c>
      <c r="K17" s="208"/>
      <c r="L17" s="44" t="s">
        <v>144</v>
      </c>
    </row>
    <row r="18" spans="1:12" s="1" customFormat="1" x14ac:dyDescent="0.25">
      <c r="A18" s="453" t="s">
        <v>64</v>
      </c>
      <c r="B18" s="459"/>
      <c r="C18" s="13"/>
      <c r="D18" s="178">
        <f>D17</f>
        <v>1646589</v>
      </c>
      <c r="E18" s="209">
        <f>+F18/D18</f>
        <v>1</v>
      </c>
      <c r="F18" s="178">
        <f>F17</f>
        <v>1646589</v>
      </c>
      <c r="G18" s="209">
        <f>+H18/F18</f>
        <v>5.000000000000001E-2</v>
      </c>
      <c r="H18" s="178">
        <f>H17</f>
        <v>82329.450000000012</v>
      </c>
      <c r="I18" s="210">
        <f>I17</f>
        <v>0</v>
      </c>
      <c r="J18" s="210">
        <f>+J17</f>
        <v>82329.450000000012</v>
      </c>
      <c r="K18" s="20">
        <f>+K17</f>
        <v>0</v>
      </c>
      <c r="L18" s="13"/>
    </row>
    <row r="19" spans="1:12" ht="37.5" customHeight="1" x14ac:dyDescent="0.25">
      <c r="A19" s="461" t="s">
        <v>145</v>
      </c>
      <c r="B19" s="462"/>
      <c r="C19" s="462"/>
      <c r="D19" s="462"/>
      <c r="E19" s="462"/>
      <c r="F19" s="462"/>
      <c r="G19" s="462"/>
      <c r="H19" s="462"/>
      <c r="I19" s="462"/>
      <c r="J19" s="462"/>
      <c r="K19" s="462"/>
      <c r="L19" s="463"/>
    </row>
    <row r="20" spans="1:12" ht="127.5" x14ac:dyDescent="0.25">
      <c r="A20" s="113" t="s">
        <v>146</v>
      </c>
      <c r="B20" s="106" t="s">
        <v>147</v>
      </c>
      <c r="C20" s="58"/>
      <c r="D20" s="211">
        <v>12560</v>
      </c>
      <c r="E20" s="59">
        <v>1</v>
      </c>
      <c r="F20" s="47">
        <f>D20*E20</f>
        <v>12560</v>
      </c>
      <c r="G20" s="212">
        <v>8.3500000000000005E-2</v>
      </c>
      <c r="H20" s="65">
        <f>F20*G20</f>
        <v>1048.76</v>
      </c>
      <c r="I20" s="60"/>
      <c r="J20" s="61">
        <f>H20-I20</f>
        <v>1048.76</v>
      </c>
      <c r="K20" s="213"/>
      <c r="L20" s="44" t="s">
        <v>148</v>
      </c>
    </row>
    <row r="21" spans="1:12" s="1" customFormat="1" x14ac:dyDescent="0.25">
      <c r="A21" s="453" t="s">
        <v>78</v>
      </c>
      <c r="B21" s="459"/>
      <c r="C21" s="13"/>
      <c r="D21" s="214">
        <f>D20</f>
        <v>12560</v>
      </c>
      <c r="E21" s="214">
        <f>+F21/D21</f>
        <v>1</v>
      </c>
      <c r="F21" s="214">
        <f>F20</f>
        <v>12560</v>
      </c>
      <c r="G21" s="214">
        <f>+H21/F21</f>
        <v>8.3500000000000005E-2</v>
      </c>
      <c r="H21" s="214">
        <f>H20</f>
        <v>1048.76</v>
      </c>
      <c r="I21" s="214">
        <f>I20</f>
        <v>0</v>
      </c>
      <c r="J21" s="214">
        <f>+J20</f>
        <v>1048.76</v>
      </c>
      <c r="K21" s="20">
        <f>+K20</f>
        <v>0</v>
      </c>
      <c r="L21" s="13"/>
    </row>
    <row r="22" spans="1:12" ht="67.5" customHeight="1" x14ac:dyDescent="0.25">
      <c r="A22" s="455" t="s">
        <v>79</v>
      </c>
      <c r="B22" s="456"/>
      <c r="C22" s="64"/>
      <c r="D22" s="214">
        <f>SUM(D15+D18+D21)</f>
        <v>1660178</v>
      </c>
      <c r="E22" s="214">
        <f>E21+E18+E15</f>
        <v>1617.5053449951408</v>
      </c>
      <c r="F22" s="214">
        <f t="shared" ref="F22" si="3">SUM(F15+F18+F21)</f>
        <v>3321504</v>
      </c>
      <c r="G22" s="214">
        <f>+H22/F22</f>
        <v>0.15512865858358141</v>
      </c>
      <c r="H22" s="214">
        <f>SUM(H15+H18+H21)</f>
        <v>515260.46</v>
      </c>
      <c r="I22" s="214">
        <f>SUM(I15+I18+I21)</f>
        <v>15480.289999999999</v>
      </c>
      <c r="J22" s="214">
        <f>SUM(J15+J18+J21)</f>
        <v>499780.17000000004</v>
      </c>
      <c r="K22" s="205">
        <f>SUM(K15+K18+K21)</f>
        <v>0</v>
      </c>
      <c r="L22" s="215"/>
    </row>
    <row r="23" spans="1:12" ht="35.25" customHeight="1" x14ac:dyDescent="0.25">
      <c r="A23" s="429" t="s">
        <v>80</v>
      </c>
      <c r="B23" s="457"/>
      <c r="C23" s="457"/>
      <c r="D23" s="457"/>
      <c r="E23" s="457"/>
      <c r="F23" s="457"/>
      <c r="G23" s="457"/>
      <c r="H23" s="457"/>
      <c r="I23" s="457"/>
      <c r="J23" s="457"/>
      <c r="K23" s="457"/>
      <c r="L23" s="458"/>
    </row>
    <row r="24" spans="1:12" ht="30.75" customHeight="1" x14ac:dyDescent="0.25">
      <c r="A24" s="446" t="s">
        <v>81</v>
      </c>
      <c r="B24" s="446"/>
      <c r="C24" s="446"/>
      <c r="D24" s="446"/>
      <c r="E24" s="446"/>
      <c r="F24" s="446"/>
      <c r="G24" s="446"/>
      <c r="H24" s="446"/>
      <c r="I24" s="446"/>
      <c r="J24" s="446"/>
      <c r="K24" s="446"/>
      <c r="L24" s="446"/>
    </row>
    <row r="25" spans="1:12" ht="165.75" x14ac:dyDescent="0.25">
      <c r="A25" s="113">
        <v>248.9</v>
      </c>
      <c r="B25" s="61" t="s">
        <v>84</v>
      </c>
      <c r="C25" s="61"/>
      <c r="D25" s="216">
        <v>49</v>
      </c>
      <c r="E25" s="216">
        <f>1646589/49</f>
        <v>33603.857142857145</v>
      </c>
      <c r="F25" s="207">
        <f>D25*E25</f>
        <v>1646589</v>
      </c>
      <c r="G25" s="216">
        <v>0.25</v>
      </c>
      <c r="H25" s="207">
        <f>F25*G25</f>
        <v>411647.25</v>
      </c>
      <c r="I25" s="154">
        <v>47</v>
      </c>
      <c r="J25" s="154">
        <f>+H25-I25</f>
        <v>411600.25</v>
      </c>
      <c r="K25" s="217"/>
      <c r="L25" s="44" t="s">
        <v>149</v>
      </c>
    </row>
    <row r="26" spans="1:12" ht="25.5" x14ac:dyDescent="0.25">
      <c r="A26" s="206" t="s">
        <v>146</v>
      </c>
      <c r="B26" s="48" t="s">
        <v>71</v>
      </c>
      <c r="C26" s="48"/>
      <c r="D26" s="165">
        <v>49</v>
      </c>
      <c r="E26" s="165">
        <v>1</v>
      </c>
      <c r="F26" s="207">
        <v>49</v>
      </c>
      <c r="G26" s="165">
        <v>2</v>
      </c>
      <c r="H26" s="207">
        <f>F26*G26</f>
        <v>98</v>
      </c>
      <c r="I26" s="199">
        <v>94</v>
      </c>
      <c r="J26" s="199">
        <f t="shared" ref="J26:J30" si="4">+H26-I26</f>
        <v>4</v>
      </c>
      <c r="K26" s="218"/>
      <c r="L26" s="45" t="s">
        <v>131</v>
      </c>
    </row>
    <row r="27" spans="1:12" ht="25.5" x14ac:dyDescent="0.25">
      <c r="A27" s="206" t="s">
        <v>136</v>
      </c>
      <c r="B27" s="48" t="s">
        <v>89</v>
      </c>
      <c r="C27" s="48"/>
      <c r="D27" s="165">
        <v>49</v>
      </c>
      <c r="E27" s="165">
        <v>1</v>
      </c>
      <c r="F27" s="207">
        <v>49</v>
      </c>
      <c r="G27" s="165">
        <f t="shared" ref="G27:G29" si="5">+H27/F27</f>
        <v>2</v>
      </c>
      <c r="H27" s="207">
        <v>98</v>
      </c>
      <c r="I27" s="199">
        <v>94</v>
      </c>
      <c r="J27" s="199">
        <f t="shared" si="4"/>
        <v>4</v>
      </c>
      <c r="K27" s="218"/>
      <c r="L27" s="45" t="s">
        <v>131</v>
      </c>
    </row>
    <row r="28" spans="1:12" ht="25.5" x14ac:dyDescent="0.25">
      <c r="A28" s="206" t="s">
        <v>150</v>
      </c>
      <c r="B28" s="48" t="s">
        <v>91</v>
      </c>
      <c r="C28" s="48"/>
      <c r="D28" s="165">
        <v>49</v>
      </c>
      <c r="E28" s="165">
        <v>1</v>
      </c>
      <c r="F28" s="207">
        <v>49</v>
      </c>
      <c r="G28" s="165">
        <f t="shared" si="5"/>
        <v>2</v>
      </c>
      <c r="H28" s="207">
        <v>98</v>
      </c>
      <c r="I28" s="199">
        <v>94</v>
      </c>
      <c r="J28" s="199">
        <f t="shared" si="4"/>
        <v>4</v>
      </c>
      <c r="K28" s="218"/>
      <c r="L28" s="45" t="s">
        <v>131</v>
      </c>
    </row>
    <row r="29" spans="1:12" ht="165.75" x14ac:dyDescent="0.25">
      <c r="A29" s="206" t="s">
        <v>93</v>
      </c>
      <c r="B29" s="48" t="s">
        <v>94</v>
      </c>
      <c r="C29" s="48"/>
      <c r="D29" s="165">
        <v>49</v>
      </c>
      <c r="E29" s="165">
        <v>1</v>
      </c>
      <c r="F29" s="207">
        <v>49</v>
      </c>
      <c r="G29" s="165">
        <f t="shared" si="5"/>
        <v>1</v>
      </c>
      <c r="H29" s="207">
        <v>49</v>
      </c>
      <c r="I29" s="199">
        <v>0</v>
      </c>
      <c r="J29" s="199">
        <f t="shared" si="4"/>
        <v>49</v>
      </c>
      <c r="K29" s="218"/>
      <c r="L29" s="45" t="s">
        <v>151</v>
      </c>
    </row>
    <row r="30" spans="1:12" ht="165.75" x14ac:dyDescent="0.25">
      <c r="A30" s="206" t="s">
        <v>96</v>
      </c>
      <c r="B30" s="48" t="s">
        <v>97</v>
      </c>
      <c r="C30" s="48"/>
      <c r="D30" s="165">
        <v>49</v>
      </c>
      <c r="E30" s="165">
        <v>1</v>
      </c>
      <c r="F30" s="207">
        <v>49</v>
      </c>
      <c r="G30" s="165">
        <v>40</v>
      </c>
      <c r="H30" s="207">
        <f>F30*G30</f>
        <v>1960</v>
      </c>
      <c r="I30" s="199">
        <v>0</v>
      </c>
      <c r="J30" s="199">
        <f t="shared" si="4"/>
        <v>1960</v>
      </c>
      <c r="K30" s="218"/>
      <c r="L30" s="45" t="s">
        <v>152</v>
      </c>
    </row>
    <row r="31" spans="1:12" x14ac:dyDescent="0.25">
      <c r="A31" s="422" t="s">
        <v>98</v>
      </c>
      <c r="B31" s="464"/>
      <c r="C31" s="66"/>
      <c r="D31" s="139">
        <v>49</v>
      </c>
      <c r="E31" s="139">
        <f>+F31/D31</f>
        <v>33608.857142857145</v>
      </c>
      <c r="F31" s="139">
        <f t="shared" ref="F31:K31" si="6">SUM(F25:F30)</f>
        <v>1646834</v>
      </c>
      <c r="G31" s="139">
        <f>+H31/F31</f>
        <v>0.25136124831039436</v>
      </c>
      <c r="H31" s="139">
        <f t="shared" si="6"/>
        <v>413950.25</v>
      </c>
      <c r="I31" s="139">
        <f t="shared" si="6"/>
        <v>329</v>
      </c>
      <c r="J31" s="139">
        <f t="shared" si="6"/>
        <v>413621.25</v>
      </c>
      <c r="K31" s="219">
        <f t="shared" si="6"/>
        <v>0</v>
      </c>
      <c r="L31" s="16"/>
    </row>
    <row r="32" spans="1:12" ht="29.45" customHeight="1" x14ac:dyDescent="0.25">
      <c r="A32" s="451" t="s">
        <v>99</v>
      </c>
      <c r="B32" s="460"/>
      <c r="C32" s="32"/>
      <c r="D32" s="140">
        <f>SUM(D22+D31)</f>
        <v>1660227</v>
      </c>
      <c r="E32" s="140">
        <f>E22+E31</f>
        <v>35226.362487852282</v>
      </c>
      <c r="F32" s="140">
        <f t="shared" ref="F32:K32" si="7">SUM(F22+F31)</f>
        <v>4968338</v>
      </c>
      <c r="G32" s="140">
        <f>G22+G31</f>
        <v>0.40648990689397579</v>
      </c>
      <c r="H32" s="140">
        <f t="shared" si="7"/>
        <v>929210.71</v>
      </c>
      <c r="I32" s="140">
        <f t="shared" si="7"/>
        <v>15809.289999999999</v>
      </c>
      <c r="J32" s="140">
        <f>SUM(J31+J22)</f>
        <v>913401.42</v>
      </c>
      <c r="K32" s="220">
        <f t="shared" si="7"/>
        <v>0</v>
      </c>
      <c r="L32" s="33"/>
    </row>
    <row r="33" spans="2:11" x14ac:dyDescent="0.25">
      <c r="D33" s="19"/>
    </row>
    <row r="34" spans="2:11" ht="15.75" thickBot="1" x14ac:dyDescent="0.3">
      <c r="D34" s="22"/>
      <c r="E34" s="23"/>
      <c r="F34" s="22"/>
      <c r="G34" s="23"/>
      <c r="H34" s="22"/>
      <c r="I34" s="22"/>
      <c r="J34" s="22"/>
      <c r="K34" s="22"/>
    </row>
    <row r="35" spans="2:11" ht="39" thickBot="1" x14ac:dyDescent="0.3">
      <c r="B35" s="34" t="s">
        <v>101</v>
      </c>
      <c r="C35" s="34" t="s">
        <v>102</v>
      </c>
      <c r="D35" s="34" t="s">
        <v>103</v>
      </c>
      <c r="E35" s="34" t="s">
        <v>104</v>
      </c>
      <c r="F35" s="35" t="s">
        <v>105</v>
      </c>
      <c r="G35" s="36" t="s">
        <v>106</v>
      </c>
      <c r="I35" s="26"/>
      <c r="J35" s="29"/>
    </row>
    <row r="36" spans="2:11" x14ac:dyDescent="0.25">
      <c r="B36" s="37" t="s">
        <v>107</v>
      </c>
      <c r="C36" s="221">
        <f>+D22</f>
        <v>1660178</v>
      </c>
      <c r="D36" s="222">
        <f>+E36/C36</f>
        <v>2.0006914921171104</v>
      </c>
      <c r="E36" s="223">
        <f>+F22</f>
        <v>3321504</v>
      </c>
      <c r="F36" s="222">
        <f>+G36/E36</f>
        <v>0.15512865858358141</v>
      </c>
      <c r="G36" s="224">
        <f>+H22</f>
        <v>515260.46</v>
      </c>
    </row>
    <row r="37" spans="2:11" ht="15.75" thickBot="1" x14ac:dyDescent="0.3">
      <c r="B37" s="38" t="s">
        <v>108</v>
      </c>
      <c r="C37" s="225">
        <f>+D31</f>
        <v>49</v>
      </c>
      <c r="D37" s="226">
        <f>+E37/C37</f>
        <v>33608.857142857145</v>
      </c>
      <c r="E37" s="227">
        <f>+F31</f>
        <v>1646834</v>
      </c>
      <c r="F37" s="226">
        <f>+G37/E37</f>
        <v>0.25136124831039436</v>
      </c>
      <c r="G37" s="228">
        <f>+H31</f>
        <v>413950.25</v>
      </c>
    </row>
    <row r="38" spans="2:11" ht="15.75" thickBot="1" x14ac:dyDescent="0.3">
      <c r="B38" s="39" t="s">
        <v>109</v>
      </c>
      <c r="C38" s="229">
        <f>C36</f>
        <v>1660178</v>
      </c>
      <c r="D38" s="230">
        <f>+E38/C38</f>
        <v>2.9926537997732772</v>
      </c>
      <c r="E38" s="231">
        <f>SUM(E36:E37)</f>
        <v>4968338</v>
      </c>
      <c r="F38" s="232">
        <f>+G38/E38</f>
        <v>0.18702646840855031</v>
      </c>
      <c r="G38" s="233">
        <f>SUM(G36:G37)</f>
        <v>929210.71</v>
      </c>
      <c r="J38" s="22"/>
    </row>
    <row r="39" spans="2:11" ht="15.75" thickBot="1" x14ac:dyDescent="0.3">
      <c r="B39" s="2"/>
      <c r="C39" s="3"/>
      <c r="D39" s="4"/>
      <c r="E39" s="5"/>
      <c r="F39" s="6"/>
      <c r="G39" s="5"/>
      <c r="J39" s="30"/>
    </row>
    <row r="40" spans="2:11" ht="15.75" thickBot="1" x14ac:dyDescent="0.3">
      <c r="B40" s="40"/>
      <c r="C40" s="34" t="s">
        <v>110</v>
      </c>
      <c r="D40" s="41" t="s">
        <v>111</v>
      </c>
    </row>
    <row r="41" spans="2:11" x14ac:dyDescent="0.25">
      <c r="B41" s="42" t="s">
        <v>112</v>
      </c>
      <c r="C41" s="234">
        <v>18434</v>
      </c>
      <c r="D41" s="235">
        <v>23661</v>
      </c>
      <c r="E41" s="7"/>
      <c r="F41" s="8"/>
      <c r="G41" s="24"/>
    </row>
    <row r="42" spans="2:11" x14ac:dyDescent="0.25">
      <c r="B42" s="43" t="s">
        <v>113</v>
      </c>
      <c r="C42" s="236">
        <f>+E38</f>
        <v>4968338</v>
      </c>
      <c r="D42" s="237">
        <f>+G38</f>
        <v>929210.71</v>
      </c>
      <c r="E42" s="7"/>
      <c r="F42" s="8"/>
      <c r="G42" s="25"/>
    </row>
    <row r="43" spans="2:11" ht="15.75" thickBot="1" x14ac:dyDescent="0.3">
      <c r="B43" s="9" t="s">
        <v>114</v>
      </c>
      <c r="C43" s="238">
        <f>+C42-C41</f>
        <v>4949904</v>
      </c>
      <c r="D43" s="239">
        <f>+D42-D41</f>
        <v>905549.71</v>
      </c>
      <c r="E43" s="7"/>
      <c r="F43" s="8"/>
      <c r="G43" s="7"/>
    </row>
    <row r="51" spans="13:13" x14ac:dyDescent="0.25">
      <c r="M51" s="28"/>
    </row>
    <row r="52" spans="13:13" x14ac:dyDescent="0.25">
      <c r="M52" s="28"/>
    </row>
    <row r="53" spans="13:13" x14ac:dyDescent="0.25">
      <c r="M53" s="28"/>
    </row>
    <row r="54" spans="13:13" x14ac:dyDescent="0.25">
      <c r="M54" s="28"/>
    </row>
    <row r="55" spans="13:13" x14ac:dyDescent="0.25">
      <c r="M55" s="28"/>
    </row>
    <row r="56" spans="13:13" x14ac:dyDescent="0.25">
      <c r="M56" s="28"/>
    </row>
    <row r="57" spans="13:13" x14ac:dyDescent="0.25">
      <c r="M57" s="28"/>
    </row>
    <row r="58" spans="13:13" x14ac:dyDescent="0.25">
      <c r="M58" s="28"/>
    </row>
    <row r="59" spans="13:13" x14ac:dyDescent="0.25">
      <c r="M59" s="28"/>
    </row>
    <row r="60" spans="13:13" x14ac:dyDescent="0.25">
      <c r="M60" s="28"/>
    </row>
    <row r="61" spans="13:13" x14ac:dyDescent="0.25">
      <c r="M61" s="28"/>
    </row>
    <row r="62" spans="13:13" x14ac:dyDescent="0.25">
      <c r="M62" s="28"/>
    </row>
    <row r="63" spans="13:13" x14ac:dyDescent="0.25">
      <c r="M63" s="28"/>
    </row>
    <row r="64" spans="13:13" x14ac:dyDescent="0.25">
      <c r="M64" s="28"/>
    </row>
    <row r="65" spans="13:13" x14ac:dyDescent="0.25">
      <c r="M65" s="28"/>
    </row>
  </sheetData>
  <mergeCells count="13">
    <mergeCell ref="A32:B32"/>
    <mergeCell ref="A19:L19"/>
    <mergeCell ref="A21:B21"/>
    <mergeCell ref="A22:B22"/>
    <mergeCell ref="A23:L23"/>
    <mergeCell ref="A24:L24"/>
    <mergeCell ref="A31:B31"/>
    <mergeCell ref="A18:B18"/>
    <mergeCell ref="A1:L1"/>
    <mergeCell ref="A3:L3"/>
    <mergeCell ref="A4:L4"/>
    <mergeCell ref="A15:B15"/>
    <mergeCell ref="A16:L16"/>
  </mergeCells>
  <pageMargins left="0.7" right="0.7" top="0.75" bottom="0.75" header="0.3" footer="0.3"/>
  <pageSetup scale="5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0232-D178-4794-A5AE-16E6042BC016}">
  <dimension ref="A1:O27"/>
  <sheetViews>
    <sheetView zoomScale="85" zoomScaleNormal="85" workbookViewId="0">
      <selection activeCell="O15" sqref="O15"/>
    </sheetView>
  </sheetViews>
  <sheetFormatPr defaultRowHeight="12.75" x14ac:dyDescent="0.2"/>
  <cols>
    <col min="1" max="1" width="12.42578125" style="244" customWidth="1"/>
    <col min="2" max="2" width="23.85546875" style="244" customWidth="1"/>
    <col min="3" max="3" width="14.42578125" style="244" customWidth="1"/>
    <col min="4" max="4" width="12.28515625" style="244" customWidth="1"/>
    <col min="5" max="5" width="12.140625" style="244" customWidth="1"/>
    <col min="6" max="6" width="10.85546875" style="244" customWidth="1"/>
    <col min="7" max="7" width="13.140625" style="244" customWidth="1"/>
    <col min="8" max="8" width="11.140625" style="244" customWidth="1"/>
    <col min="9" max="9" width="13.28515625" style="244" customWidth="1"/>
    <col min="10" max="10" width="12.5703125" style="244" customWidth="1"/>
    <col min="11" max="11" width="13.42578125" style="244" customWidth="1"/>
    <col min="12" max="12" width="10.42578125" style="244" customWidth="1"/>
    <col min="13" max="13" width="10.85546875" style="244" customWidth="1"/>
    <col min="14" max="14" width="13.28515625" style="244" customWidth="1"/>
    <col min="15" max="256" width="8.7109375" style="244"/>
    <col min="257" max="257" width="12.42578125" style="244" customWidth="1"/>
    <col min="258" max="258" width="23.85546875" style="244" customWidth="1"/>
    <col min="259" max="259" width="14.42578125" style="244" customWidth="1"/>
    <col min="260" max="260" width="12.28515625" style="244" customWidth="1"/>
    <col min="261" max="261" width="12.140625" style="244" customWidth="1"/>
    <col min="262" max="262" width="10.85546875" style="244" customWidth="1"/>
    <col min="263" max="263" width="13.140625" style="244" customWidth="1"/>
    <col min="264" max="264" width="11.140625" style="244" customWidth="1"/>
    <col min="265" max="265" width="13.28515625" style="244" customWidth="1"/>
    <col min="266" max="266" width="12.5703125" style="244" customWidth="1"/>
    <col min="267" max="267" width="13.42578125" style="244" customWidth="1"/>
    <col min="268" max="268" width="10.42578125" style="244" customWidth="1"/>
    <col min="269" max="269" width="10.85546875" style="244" customWidth="1"/>
    <col min="270" max="270" width="13.28515625" style="244" customWidth="1"/>
    <col min="271" max="512" width="8.7109375" style="244"/>
    <col min="513" max="513" width="12.42578125" style="244" customWidth="1"/>
    <col min="514" max="514" width="23.85546875" style="244" customWidth="1"/>
    <col min="515" max="515" width="14.42578125" style="244" customWidth="1"/>
    <col min="516" max="516" width="12.28515625" style="244" customWidth="1"/>
    <col min="517" max="517" width="12.140625" style="244" customWidth="1"/>
    <col min="518" max="518" width="10.85546875" style="244" customWidth="1"/>
    <col min="519" max="519" width="13.140625" style="244" customWidth="1"/>
    <col min="520" max="520" width="11.140625" style="244" customWidth="1"/>
    <col min="521" max="521" width="13.28515625" style="244" customWidth="1"/>
    <col min="522" max="522" width="12.5703125" style="244" customWidth="1"/>
    <col min="523" max="523" width="13.42578125" style="244" customWidth="1"/>
    <col min="524" max="524" width="10.42578125" style="244" customWidth="1"/>
    <col min="525" max="525" width="10.85546875" style="244" customWidth="1"/>
    <col min="526" max="526" width="13.28515625" style="244" customWidth="1"/>
    <col min="527" max="768" width="8.7109375" style="244"/>
    <col min="769" max="769" width="12.42578125" style="244" customWidth="1"/>
    <col min="770" max="770" width="23.85546875" style="244" customWidth="1"/>
    <col min="771" max="771" width="14.42578125" style="244" customWidth="1"/>
    <col min="772" max="772" width="12.28515625" style="244" customWidth="1"/>
    <col min="773" max="773" width="12.140625" style="244" customWidth="1"/>
    <col min="774" max="774" width="10.85546875" style="244" customWidth="1"/>
    <col min="775" max="775" width="13.140625" style="244" customWidth="1"/>
    <col min="776" max="776" width="11.140625" style="244" customWidth="1"/>
    <col min="777" max="777" width="13.28515625" style="244" customWidth="1"/>
    <col min="778" max="778" width="12.5703125" style="244" customWidth="1"/>
    <col min="779" max="779" width="13.42578125" style="244" customWidth="1"/>
    <col min="780" max="780" width="10.42578125" style="244" customWidth="1"/>
    <col min="781" max="781" width="10.85546875" style="244" customWidth="1"/>
    <col min="782" max="782" width="13.28515625" style="244" customWidth="1"/>
    <col min="783" max="1024" width="8.7109375" style="244"/>
    <col min="1025" max="1025" width="12.42578125" style="244" customWidth="1"/>
    <col min="1026" max="1026" width="23.85546875" style="244" customWidth="1"/>
    <col min="1027" max="1027" width="14.42578125" style="244" customWidth="1"/>
    <col min="1028" max="1028" width="12.28515625" style="244" customWidth="1"/>
    <col min="1029" max="1029" width="12.140625" style="244" customWidth="1"/>
    <col min="1030" max="1030" width="10.85546875" style="244" customWidth="1"/>
    <col min="1031" max="1031" width="13.140625" style="244" customWidth="1"/>
    <col min="1032" max="1032" width="11.140625" style="244" customWidth="1"/>
    <col min="1033" max="1033" width="13.28515625" style="244" customWidth="1"/>
    <col min="1034" max="1034" width="12.5703125" style="244" customWidth="1"/>
    <col min="1035" max="1035" width="13.42578125" style="244" customWidth="1"/>
    <col min="1036" max="1036" width="10.42578125" style="244" customWidth="1"/>
    <col min="1037" max="1037" width="10.85546875" style="244" customWidth="1"/>
    <col min="1038" max="1038" width="13.28515625" style="244" customWidth="1"/>
    <col min="1039" max="1280" width="8.7109375" style="244"/>
    <col min="1281" max="1281" width="12.42578125" style="244" customWidth="1"/>
    <col min="1282" max="1282" width="23.85546875" style="244" customWidth="1"/>
    <col min="1283" max="1283" width="14.42578125" style="244" customWidth="1"/>
    <col min="1284" max="1284" width="12.28515625" style="244" customWidth="1"/>
    <col min="1285" max="1285" width="12.140625" style="244" customWidth="1"/>
    <col min="1286" max="1286" width="10.85546875" style="244" customWidth="1"/>
    <col min="1287" max="1287" width="13.140625" style="244" customWidth="1"/>
    <col min="1288" max="1288" width="11.140625" style="244" customWidth="1"/>
    <col min="1289" max="1289" width="13.28515625" style="244" customWidth="1"/>
    <col min="1290" max="1290" width="12.5703125" style="244" customWidth="1"/>
    <col min="1291" max="1291" width="13.42578125" style="244" customWidth="1"/>
    <col min="1292" max="1292" width="10.42578125" style="244" customWidth="1"/>
    <col min="1293" max="1293" width="10.85546875" style="244" customWidth="1"/>
    <col min="1294" max="1294" width="13.28515625" style="244" customWidth="1"/>
    <col min="1295" max="1536" width="8.7109375" style="244"/>
    <col min="1537" max="1537" width="12.42578125" style="244" customWidth="1"/>
    <col min="1538" max="1538" width="23.85546875" style="244" customWidth="1"/>
    <col min="1539" max="1539" width="14.42578125" style="244" customWidth="1"/>
    <col min="1540" max="1540" width="12.28515625" style="244" customWidth="1"/>
    <col min="1541" max="1541" width="12.140625" style="244" customWidth="1"/>
    <col min="1542" max="1542" width="10.85546875" style="244" customWidth="1"/>
    <col min="1543" max="1543" width="13.140625" style="244" customWidth="1"/>
    <col min="1544" max="1544" width="11.140625" style="244" customWidth="1"/>
    <col min="1545" max="1545" width="13.28515625" style="244" customWidth="1"/>
    <col min="1546" max="1546" width="12.5703125" style="244" customWidth="1"/>
    <col min="1547" max="1547" width="13.42578125" style="244" customWidth="1"/>
    <col min="1548" max="1548" width="10.42578125" style="244" customWidth="1"/>
    <col min="1549" max="1549" width="10.85546875" style="244" customWidth="1"/>
    <col min="1550" max="1550" width="13.28515625" style="244" customWidth="1"/>
    <col min="1551" max="1792" width="8.7109375" style="244"/>
    <col min="1793" max="1793" width="12.42578125" style="244" customWidth="1"/>
    <col min="1794" max="1794" width="23.85546875" style="244" customWidth="1"/>
    <col min="1795" max="1795" width="14.42578125" style="244" customWidth="1"/>
    <col min="1796" max="1796" width="12.28515625" style="244" customWidth="1"/>
    <col min="1797" max="1797" width="12.140625" style="244" customWidth="1"/>
    <col min="1798" max="1798" width="10.85546875" style="244" customWidth="1"/>
    <col min="1799" max="1799" width="13.140625" style="244" customWidth="1"/>
    <col min="1800" max="1800" width="11.140625" style="244" customWidth="1"/>
    <col min="1801" max="1801" width="13.28515625" style="244" customWidth="1"/>
    <col min="1802" max="1802" width="12.5703125" style="244" customWidth="1"/>
    <col min="1803" max="1803" width="13.42578125" style="244" customWidth="1"/>
    <col min="1804" max="1804" width="10.42578125" style="244" customWidth="1"/>
    <col min="1805" max="1805" width="10.85546875" style="244" customWidth="1"/>
    <col min="1806" max="1806" width="13.28515625" style="244" customWidth="1"/>
    <col min="1807" max="2048" width="8.7109375" style="244"/>
    <col min="2049" max="2049" width="12.42578125" style="244" customWidth="1"/>
    <col min="2050" max="2050" width="23.85546875" style="244" customWidth="1"/>
    <col min="2051" max="2051" width="14.42578125" style="244" customWidth="1"/>
    <col min="2052" max="2052" width="12.28515625" style="244" customWidth="1"/>
    <col min="2053" max="2053" width="12.140625" style="244" customWidth="1"/>
    <col min="2054" max="2054" width="10.85546875" style="244" customWidth="1"/>
    <col min="2055" max="2055" width="13.140625" style="244" customWidth="1"/>
    <col min="2056" max="2056" width="11.140625" style="244" customWidth="1"/>
    <col min="2057" max="2057" width="13.28515625" style="244" customWidth="1"/>
    <col min="2058" max="2058" width="12.5703125" style="244" customWidth="1"/>
    <col min="2059" max="2059" width="13.42578125" style="244" customWidth="1"/>
    <col min="2060" max="2060" width="10.42578125" style="244" customWidth="1"/>
    <col min="2061" max="2061" width="10.85546875" style="244" customWidth="1"/>
    <col min="2062" max="2062" width="13.28515625" style="244" customWidth="1"/>
    <col min="2063" max="2304" width="8.7109375" style="244"/>
    <col min="2305" max="2305" width="12.42578125" style="244" customWidth="1"/>
    <col min="2306" max="2306" width="23.85546875" style="244" customWidth="1"/>
    <col min="2307" max="2307" width="14.42578125" style="244" customWidth="1"/>
    <col min="2308" max="2308" width="12.28515625" style="244" customWidth="1"/>
    <col min="2309" max="2309" width="12.140625" style="244" customWidth="1"/>
    <col min="2310" max="2310" width="10.85546875" style="244" customWidth="1"/>
    <col min="2311" max="2311" width="13.140625" style="244" customWidth="1"/>
    <col min="2312" max="2312" width="11.140625" style="244" customWidth="1"/>
    <col min="2313" max="2313" width="13.28515625" style="244" customWidth="1"/>
    <col min="2314" max="2314" width="12.5703125" style="244" customWidth="1"/>
    <col min="2315" max="2315" width="13.42578125" style="244" customWidth="1"/>
    <col min="2316" max="2316" width="10.42578125" style="244" customWidth="1"/>
    <col min="2317" max="2317" width="10.85546875" style="244" customWidth="1"/>
    <col min="2318" max="2318" width="13.28515625" style="244" customWidth="1"/>
    <col min="2319" max="2560" width="8.7109375" style="244"/>
    <col min="2561" max="2561" width="12.42578125" style="244" customWidth="1"/>
    <col min="2562" max="2562" width="23.85546875" style="244" customWidth="1"/>
    <col min="2563" max="2563" width="14.42578125" style="244" customWidth="1"/>
    <col min="2564" max="2564" width="12.28515625" style="244" customWidth="1"/>
    <col min="2565" max="2565" width="12.140625" style="244" customWidth="1"/>
    <col min="2566" max="2566" width="10.85546875" style="244" customWidth="1"/>
    <col min="2567" max="2567" width="13.140625" style="244" customWidth="1"/>
    <col min="2568" max="2568" width="11.140625" style="244" customWidth="1"/>
    <col min="2569" max="2569" width="13.28515625" style="244" customWidth="1"/>
    <col min="2570" max="2570" width="12.5703125" style="244" customWidth="1"/>
    <col min="2571" max="2571" width="13.42578125" style="244" customWidth="1"/>
    <col min="2572" max="2572" width="10.42578125" style="244" customWidth="1"/>
    <col min="2573" max="2573" width="10.85546875" style="244" customWidth="1"/>
    <col min="2574" max="2574" width="13.28515625" style="244" customWidth="1"/>
    <col min="2575" max="2816" width="8.7109375" style="244"/>
    <col min="2817" max="2817" width="12.42578125" style="244" customWidth="1"/>
    <col min="2818" max="2818" width="23.85546875" style="244" customWidth="1"/>
    <col min="2819" max="2819" width="14.42578125" style="244" customWidth="1"/>
    <col min="2820" max="2820" width="12.28515625" style="244" customWidth="1"/>
    <col min="2821" max="2821" width="12.140625" style="244" customWidth="1"/>
    <col min="2822" max="2822" width="10.85546875" style="244" customWidth="1"/>
    <col min="2823" max="2823" width="13.140625" style="244" customWidth="1"/>
    <col min="2824" max="2824" width="11.140625" style="244" customWidth="1"/>
    <col min="2825" max="2825" width="13.28515625" style="244" customWidth="1"/>
    <col min="2826" max="2826" width="12.5703125" style="244" customWidth="1"/>
    <col min="2827" max="2827" width="13.42578125" style="244" customWidth="1"/>
    <col min="2828" max="2828" width="10.42578125" style="244" customWidth="1"/>
    <col min="2829" max="2829" width="10.85546875" style="244" customWidth="1"/>
    <col min="2830" max="2830" width="13.28515625" style="244" customWidth="1"/>
    <col min="2831" max="3072" width="8.7109375" style="244"/>
    <col min="3073" max="3073" width="12.42578125" style="244" customWidth="1"/>
    <col min="3074" max="3074" width="23.85546875" style="244" customWidth="1"/>
    <col min="3075" max="3075" width="14.42578125" style="244" customWidth="1"/>
    <col min="3076" max="3076" width="12.28515625" style="244" customWidth="1"/>
    <col min="3077" max="3077" width="12.140625" style="244" customWidth="1"/>
    <col min="3078" max="3078" width="10.85546875" style="244" customWidth="1"/>
    <col min="3079" max="3079" width="13.140625" style="244" customWidth="1"/>
    <col min="3080" max="3080" width="11.140625" style="244" customWidth="1"/>
    <col min="3081" max="3081" width="13.28515625" style="244" customWidth="1"/>
    <col min="3082" max="3082" width="12.5703125" style="244" customWidth="1"/>
    <col min="3083" max="3083" width="13.42578125" style="244" customWidth="1"/>
    <col min="3084" max="3084" width="10.42578125" style="244" customWidth="1"/>
    <col min="3085" max="3085" width="10.85546875" style="244" customWidth="1"/>
    <col min="3086" max="3086" width="13.28515625" style="244" customWidth="1"/>
    <col min="3087" max="3328" width="8.7109375" style="244"/>
    <col min="3329" max="3329" width="12.42578125" style="244" customWidth="1"/>
    <col min="3330" max="3330" width="23.85546875" style="244" customWidth="1"/>
    <col min="3331" max="3331" width="14.42578125" style="244" customWidth="1"/>
    <col min="3332" max="3332" width="12.28515625" style="244" customWidth="1"/>
    <col min="3333" max="3333" width="12.140625" style="244" customWidth="1"/>
    <col min="3334" max="3334" width="10.85546875" style="244" customWidth="1"/>
    <col min="3335" max="3335" width="13.140625" style="244" customWidth="1"/>
    <col min="3336" max="3336" width="11.140625" style="244" customWidth="1"/>
    <col min="3337" max="3337" width="13.28515625" style="244" customWidth="1"/>
    <col min="3338" max="3338" width="12.5703125" style="244" customWidth="1"/>
    <col min="3339" max="3339" width="13.42578125" style="244" customWidth="1"/>
    <col min="3340" max="3340" width="10.42578125" style="244" customWidth="1"/>
    <col min="3341" max="3341" width="10.85546875" style="244" customWidth="1"/>
    <col min="3342" max="3342" width="13.28515625" style="244" customWidth="1"/>
    <col min="3343" max="3584" width="8.7109375" style="244"/>
    <col min="3585" max="3585" width="12.42578125" style="244" customWidth="1"/>
    <col min="3586" max="3586" width="23.85546875" style="244" customWidth="1"/>
    <col min="3587" max="3587" width="14.42578125" style="244" customWidth="1"/>
    <col min="3588" max="3588" width="12.28515625" style="244" customWidth="1"/>
    <col min="3589" max="3589" width="12.140625" style="244" customWidth="1"/>
    <col min="3590" max="3590" width="10.85546875" style="244" customWidth="1"/>
    <col min="3591" max="3591" width="13.140625" style="244" customWidth="1"/>
    <col min="3592" max="3592" width="11.140625" style="244" customWidth="1"/>
    <col min="3593" max="3593" width="13.28515625" style="244" customWidth="1"/>
    <col min="3594" max="3594" width="12.5703125" style="244" customWidth="1"/>
    <col min="3595" max="3595" width="13.42578125" style="244" customWidth="1"/>
    <col min="3596" max="3596" width="10.42578125" style="244" customWidth="1"/>
    <col min="3597" max="3597" width="10.85546875" style="244" customWidth="1"/>
    <col min="3598" max="3598" width="13.28515625" style="244" customWidth="1"/>
    <col min="3599" max="3840" width="8.7109375" style="244"/>
    <col min="3841" max="3841" width="12.42578125" style="244" customWidth="1"/>
    <col min="3842" max="3842" width="23.85546875" style="244" customWidth="1"/>
    <col min="3843" max="3843" width="14.42578125" style="244" customWidth="1"/>
    <col min="3844" max="3844" width="12.28515625" style="244" customWidth="1"/>
    <col min="3845" max="3845" width="12.140625" style="244" customWidth="1"/>
    <col min="3846" max="3846" width="10.85546875" style="244" customWidth="1"/>
    <col min="3847" max="3847" width="13.140625" style="244" customWidth="1"/>
    <col min="3848" max="3848" width="11.140625" style="244" customWidth="1"/>
    <col min="3849" max="3849" width="13.28515625" style="244" customWidth="1"/>
    <col min="3850" max="3850" width="12.5703125" style="244" customWidth="1"/>
    <col min="3851" max="3851" width="13.42578125" style="244" customWidth="1"/>
    <col min="3852" max="3852" width="10.42578125" style="244" customWidth="1"/>
    <col min="3853" max="3853" width="10.85546875" style="244" customWidth="1"/>
    <col min="3854" max="3854" width="13.28515625" style="244" customWidth="1"/>
    <col min="3855" max="4096" width="8.7109375" style="244"/>
    <col min="4097" max="4097" width="12.42578125" style="244" customWidth="1"/>
    <col min="4098" max="4098" width="23.85546875" style="244" customWidth="1"/>
    <col min="4099" max="4099" width="14.42578125" style="244" customWidth="1"/>
    <col min="4100" max="4100" width="12.28515625" style="244" customWidth="1"/>
    <col min="4101" max="4101" width="12.140625" style="244" customWidth="1"/>
    <col min="4102" max="4102" width="10.85546875" style="244" customWidth="1"/>
    <col min="4103" max="4103" width="13.140625" style="244" customWidth="1"/>
    <col min="4104" max="4104" width="11.140625" style="244" customWidth="1"/>
    <col min="4105" max="4105" width="13.28515625" style="244" customWidth="1"/>
    <col min="4106" max="4106" width="12.5703125" style="244" customWidth="1"/>
    <col min="4107" max="4107" width="13.42578125" style="244" customWidth="1"/>
    <col min="4108" max="4108" width="10.42578125" style="244" customWidth="1"/>
    <col min="4109" max="4109" width="10.85546875" style="244" customWidth="1"/>
    <col min="4110" max="4110" width="13.28515625" style="244" customWidth="1"/>
    <col min="4111" max="4352" width="8.7109375" style="244"/>
    <col min="4353" max="4353" width="12.42578125" style="244" customWidth="1"/>
    <col min="4354" max="4354" width="23.85546875" style="244" customWidth="1"/>
    <col min="4355" max="4355" width="14.42578125" style="244" customWidth="1"/>
    <col min="4356" max="4356" width="12.28515625" style="244" customWidth="1"/>
    <col min="4357" max="4357" width="12.140625" style="244" customWidth="1"/>
    <col min="4358" max="4358" width="10.85546875" style="244" customWidth="1"/>
    <col min="4359" max="4359" width="13.140625" style="244" customWidth="1"/>
    <col min="4360" max="4360" width="11.140625" style="244" customWidth="1"/>
    <col min="4361" max="4361" width="13.28515625" style="244" customWidth="1"/>
    <col min="4362" max="4362" width="12.5703125" style="244" customWidth="1"/>
    <col min="4363" max="4363" width="13.42578125" style="244" customWidth="1"/>
    <col min="4364" max="4364" width="10.42578125" style="244" customWidth="1"/>
    <col min="4365" max="4365" width="10.85546875" style="244" customWidth="1"/>
    <col min="4366" max="4366" width="13.28515625" style="244" customWidth="1"/>
    <col min="4367" max="4608" width="8.7109375" style="244"/>
    <col min="4609" max="4609" width="12.42578125" style="244" customWidth="1"/>
    <col min="4610" max="4610" width="23.85546875" style="244" customWidth="1"/>
    <col min="4611" max="4611" width="14.42578125" style="244" customWidth="1"/>
    <col min="4612" max="4612" width="12.28515625" style="244" customWidth="1"/>
    <col min="4613" max="4613" width="12.140625" style="244" customWidth="1"/>
    <col min="4614" max="4614" width="10.85546875" style="244" customWidth="1"/>
    <col min="4615" max="4615" width="13.140625" style="244" customWidth="1"/>
    <col min="4616" max="4616" width="11.140625" style="244" customWidth="1"/>
    <col min="4617" max="4617" width="13.28515625" style="244" customWidth="1"/>
    <col min="4618" max="4618" width="12.5703125" style="244" customWidth="1"/>
    <col min="4619" max="4619" width="13.42578125" style="244" customWidth="1"/>
    <col min="4620" max="4620" width="10.42578125" style="244" customWidth="1"/>
    <col min="4621" max="4621" width="10.85546875" style="244" customWidth="1"/>
    <col min="4622" max="4622" width="13.28515625" style="244" customWidth="1"/>
    <col min="4623" max="4864" width="8.7109375" style="244"/>
    <col min="4865" max="4865" width="12.42578125" style="244" customWidth="1"/>
    <col min="4866" max="4866" width="23.85546875" style="244" customWidth="1"/>
    <col min="4867" max="4867" width="14.42578125" style="244" customWidth="1"/>
    <col min="4868" max="4868" width="12.28515625" style="244" customWidth="1"/>
    <col min="4869" max="4869" width="12.140625" style="244" customWidth="1"/>
    <col min="4870" max="4870" width="10.85546875" style="244" customWidth="1"/>
    <col min="4871" max="4871" width="13.140625" style="244" customWidth="1"/>
    <col min="4872" max="4872" width="11.140625" style="244" customWidth="1"/>
    <col min="4873" max="4873" width="13.28515625" style="244" customWidth="1"/>
    <col min="4874" max="4874" width="12.5703125" style="244" customWidth="1"/>
    <col min="4875" max="4875" width="13.42578125" style="244" customWidth="1"/>
    <col min="4876" max="4876" width="10.42578125" style="244" customWidth="1"/>
    <col min="4877" max="4877" width="10.85546875" style="244" customWidth="1"/>
    <col min="4878" max="4878" width="13.28515625" style="244" customWidth="1"/>
    <col min="4879" max="5120" width="8.7109375" style="244"/>
    <col min="5121" max="5121" width="12.42578125" style="244" customWidth="1"/>
    <col min="5122" max="5122" width="23.85546875" style="244" customWidth="1"/>
    <col min="5123" max="5123" width="14.42578125" style="244" customWidth="1"/>
    <col min="5124" max="5124" width="12.28515625" style="244" customWidth="1"/>
    <col min="5125" max="5125" width="12.140625" style="244" customWidth="1"/>
    <col min="5126" max="5126" width="10.85546875" style="244" customWidth="1"/>
    <col min="5127" max="5127" width="13.140625" style="244" customWidth="1"/>
    <col min="5128" max="5128" width="11.140625" style="244" customWidth="1"/>
    <col min="5129" max="5129" width="13.28515625" style="244" customWidth="1"/>
    <col min="5130" max="5130" width="12.5703125" style="244" customWidth="1"/>
    <col min="5131" max="5131" width="13.42578125" style="244" customWidth="1"/>
    <col min="5132" max="5132" width="10.42578125" style="244" customWidth="1"/>
    <col min="5133" max="5133" width="10.85546875" style="244" customWidth="1"/>
    <col min="5134" max="5134" width="13.28515625" style="244" customWidth="1"/>
    <col min="5135" max="5376" width="8.7109375" style="244"/>
    <col min="5377" max="5377" width="12.42578125" style="244" customWidth="1"/>
    <col min="5378" max="5378" width="23.85546875" style="244" customWidth="1"/>
    <col min="5379" max="5379" width="14.42578125" style="244" customWidth="1"/>
    <col min="5380" max="5380" width="12.28515625" style="244" customWidth="1"/>
    <col min="5381" max="5381" width="12.140625" style="244" customWidth="1"/>
    <col min="5382" max="5382" width="10.85546875" style="244" customWidth="1"/>
    <col min="5383" max="5383" width="13.140625" style="244" customWidth="1"/>
    <col min="5384" max="5384" width="11.140625" style="244" customWidth="1"/>
    <col min="5385" max="5385" width="13.28515625" style="244" customWidth="1"/>
    <col min="5386" max="5386" width="12.5703125" style="244" customWidth="1"/>
    <col min="5387" max="5387" width="13.42578125" style="244" customWidth="1"/>
    <col min="5388" max="5388" width="10.42578125" style="244" customWidth="1"/>
    <col min="5389" max="5389" width="10.85546875" style="244" customWidth="1"/>
    <col min="5390" max="5390" width="13.28515625" style="244" customWidth="1"/>
    <col min="5391" max="5632" width="8.7109375" style="244"/>
    <col min="5633" max="5633" width="12.42578125" style="244" customWidth="1"/>
    <col min="5634" max="5634" width="23.85546875" style="244" customWidth="1"/>
    <col min="5635" max="5635" width="14.42578125" style="244" customWidth="1"/>
    <col min="5636" max="5636" width="12.28515625" style="244" customWidth="1"/>
    <col min="5637" max="5637" width="12.140625" style="244" customWidth="1"/>
    <col min="5638" max="5638" width="10.85546875" style="244" customWidth="1"/>
    <col min="5639" max="5639" width="13.140625" style="244" customWidth="1"/>
    <col min="5640" max="5640" width="11.140625" style="244" customWidth="1"/>
    <col min="5641" max="5641" width="13.28515625" style="244" customWidth="1"/>
    <col min="5642" max="5642" width="12.5703125" style="244" customWidth="1"/>
    <col min="5643" max="5643" width="13.42578125" style="244" customWidth="1"/>
    <col min="5644" max="5644" width="10.42578125" style="244" customWidth="1"/>
    <col min="5645" max="5645" width="10.85546875" style="244" customWidth="1"/>
    <col min="5646" max="5646" width="13.28515625" style="244" customWidth="1"/>
    <col min="5647" max="5888" width="8.7109375" style="244"/>
    <col min="5889" max="5889" width="12.42578125" style="244" customWidth="1"/>
    <col min="5890" max="5890" width="23.85546875" style="244" customWidth="1"/>
    <col min="5891" max="5891" width="14.42578125" style="244" customWidth="1"/>
    <col min="5892" max="5892" width="12.28515625" style="244" customWidth="1"/>
    <col min="5893" max="5893" width="12.140625" style="244" customWidth="1"/>
    <col min="5894" max="5894" width="10.85546875" style="244" customWidth="1"/>
    <col min="5895" max="5895" width="13.140625" style="244" customWidth="1"/>
    <col min="5896" max="5896" width="11.140625" style="244" customWidth="1"/>
    <col min="5897" max="5897" width="13.28515625" style="244" customWidth="1"/>
    <col min="5898" max="5898" width="12.5703125" style="244" customWidth="1"/>
    <col min="5899" max="5899" width="13.42578125" style="244" customWidth="1"/>
    <col min="5900" max="5900" width="10.42578125" style="244" customWidth="1"/>
    <col min="5901" max="5901" width="10.85546875" style="244" customWidth="1"/>
    <col min="5902" max="5902" width="13.28515625" style="244" customWidth="1"/>
    <col min="5903" max="6144" width="8.7109375" style="244"/>
    <col min="6145" max="6145" width="12.42578125" style="244" customWidth="1"/>
    <col min="6146" max="6146" width="23.85546875" style="244" customWidth="1"/>
    <col min="6147" max="6147" width="14.42578125" style="244" customWidth="1"/>
    <col min="6148" max="6148" width="12.28515625" style="244" customWidth="1"/>
    <col min="6149" max="6149" width="12.140625" style="244" customWidth="1"/>
    <col min="6150" max="6150" width="10.85546875" style="244" customWidth="1"/>
    <col min="6151" max="6151" width="13.140625" style="244" customWidth="1"/>
    <col min="6152" max="6152" width="11.140625" style="244" customWidth="1"/>
    <col min="6153" max="6153" width="13.28515625" style="244" customWidth="1"/>
    <col min="6154" max="6154" width="12.5703125" style="244" customWidth="1"/>
    <col min="6155" max="6155" width="13.42578125" style="244" customWidth="1"/>
    <col min="6156" max="6156" width="10.42578125" style="244" customWidth="1"/>
    <col min="6157" max="6157" width="10.85546875" style="244" customWidth="1"/>
    <col min="6158" max="6158" width="13.28515625" style="244" customWidth="1"/>
    <col min="6159" max="6400" width="8.7109375" style="244"/>
    <col min="6401" max="6401" width="12.42578125" style="244" customWidth="1"/>
    <col min="6402" max="6402" width="23.85546875" style="244" customWidth="1"/>
    <col min="6403" max="6403" width="14.42578125" style="244" customWidth="1"/>
    <col min="6404" max="6404" width="12.28515625" style="244" customWidth="1"/>
    <col min="6405" max="6405" width="12.140625" style="244" customWidth="1"/>
    <col min="6406" max="6406" width="10.85546875" style="244" customWidth="1"/>
    <col min="6407" max="6407" width="13.140625" style="244" customWidth="1"/>
    <col min="6408" max="6408" width="11.140625" style="244" customWidth="1"/>
    <col min="6409" max="6409" width="13.28515625" style="244" customWidth="1"/>
    <col min="6410" max="6410" width="12.5703125" style="244" customWidth="1"/>
    <col min="6411" max="6411" width="13.42578125" style="244" customWidth="1"/>
    <col min="6412" max="6412" width="10.42578125" style="244" customWidth="1"/>
    <col min="6413" max="6413" width="10.85546875" style="244" customWidth="1"/>
    <col min="6414" max="6414" width="13.28515625" style="244" customWidth="1"/>
    <col min="6415" max="6656" width="8.7109375" style="244"/>
    <col min="6657" max="6657" width="12.42578125" style="244" customWidth="1"/>
    <col min="6658" max="6658" width="23.85546875" style="244" customWidth="1"/>
    <col min="6659" max="6659" width="14.42578125" style="244" customWidth="1"/>
    <col min="6660" max="6660" width="12.28515625" style="244" customWidth="1"/>
    <col min="6661" max="6661" width="12.140625" style="244" customWidth="1"/>
    <col min="6662" max="6662" width="10.85546875" style="244" customWidth="1"/>
    <col min="6663" max="6663" width="13.140625" style="244" customWidth="1"/>
    <col min="6664" max="6664" width="11.140625" style="244" customWidth="1"/>
    <col min="6665" max="6665" width="13.28515625" style="244" customWidth="1"/>
    <col min="6666" max="6666" width="12.5703125" style="244" customWidth="1"/>
    <col min="6667" max="6667" width="13.42578125" style="244" customWidth="1"/>
    <col min="6668" max="6668" width="10.42578125" style="244" customWidth="1"/>
    <col min="6669" max="6669" width="10.85546875" style="244" customWidth="1"/>
    <col min="6670" max="6670" width="13.28515625" style="244" customWidth="1"/>
    <col min="6671" max="6912" width="8.7109375" style="244"/>
    <col min="6913" max="6913" width="12.42578125" style="244" customWidth="1"/>
    <col min="6914" max="6914" width="23.85546875" style="244" customWidth="1"/>
    <col min="6915" max="6915" width="14.42578125" style="244" customWidth="1"/>
    <col min="6916" max="6916" width="12.28515625" style="244" customWidth="1"/>
    <col min="6917" max="6917" width="12.140625" style="244" customWidth="1"/>
    <col min="6918" max="6918" width="10.85546875" style="244" customWidth="1"/>
    <col min="6919" max="6919" width="13.140625" style="244" customWidth="1"/>
    <col min="6920" max="6920" width="11.140625" style="244" customWidth="1"/>
    <col min="6921" max="6921" width="13.28515625" style="244" customWidth="1"/>
    <col min="6922" max="6922" width="12.5703125" style="244" customWidth="1"/>
    <col min="6923" max="6923" width="13.42578125" style="244" customWidth="1"/>
    <col min="6924" max="6924" width="10.42578125" style="244" customWidth="1"/>
    <col min="6925" max="6925" width="10.85546875" style="244" customWidth="1"/>
    <col min="6926" max="6926" width="13.28515625" style="244" customWidth="1"/>
    <col min="6927" max="7168" width="8.7109375" style="244"/>
    <col min="7169" max="7169" width="12.42578125" style="244" customWidth="1"/>
    <col min="7170" max="7170" width="23.85546875" style="244" customWidth="1"/>
    <col min="7171" max="7171" width="14.42578125" style="244" customWidth="1"/>
    <col min="7172" max="7172" width="12.28515625" style="244" customWidth="1"/>
    <col min="7173" max="7173" width="12.140625" style="244" customWidth="1"/>
    <col min="7174" max="7174" width="10.85546875" style="244" customWidth="1"/>
    <col min="7175" max="7175" width="13.140625" style="244" customWidth="1"/>
    <col min="7176" max="7176" width="11.140625" style="244" customWidth="1"/>
    <col min="7177" max="7177" width="13.28515625" style="244" customWidth="1"/>
    <col min="7178" max="7178" width="12.5703125" style="244" customWidth="1"/>
    <col min="7179" max="7179" width="13.42578125" style="244" customWidth="1"/>
    <col min="7180" max="7180" width="10.42578125" style="244" customWidth="1"/>
    <col min="7181" max="7181" width="10.85546875" style="244" customWidth="1"/>
    <col min="7182" max="7182" width="13.28515625" style="244" customWidth="1"/>
    <col min="7183" max="7424" width="8.7109375" style="244"/>
    <col min="7425" max="7425" width="12.42578125" style="244" customWidth="1"/>
    <col min="7426" max="7426" width="23.85546875" style="244" customWidth="1"/>
    <col min="7427" max="7427" width="14.42578125" style="244" customWidth="1"/>
    <col min="7428" max="7428" width="12.28515625" style="244" customWidth="1"/>
    <col min="7429" max="7429" width="12.140625" style="244" customWidth="1"/>
    <col min="7430" max="7430" width="10.85546875" style="244" customWidth="1"/>
    <col min="7431" max="7431" width="13.140625" style="244" customWidth="1"/>
    <col min="7432" max="7432" width="11.140625" style="244" customWidth="1"/>
    <col min="7433" max="7433" width="13.28515625" style="244" customWidth="1"/>
    <col min="7434" max="7434" width="12.5703125" style="244" customWidth="1"/>
    <col min="7435" max="7435" width="13.42578125" style="244" customWidth="1"/>
    <col min="7436" max="7436" width="10.42578125" style="244" customWidth="1"/>
    <col min="7437" max="7437" width="10.85546875" style="244" customWidth="1"/>
    <col min="7438" max="7438" width="13.28515625" style="244" customWidth="1"/>
    <col min="7439" max="7680" width="8.7109375" style="244"/>
    <col min="7681" max="7681" width="12.42578125" style="244" customWidth="1"/>
    <col min="7682" max="7682" width="23.85546875" style="244" customWidth="1"/>
    <col min="7683" max="7683" width="14.42578125" style="244" customWidth="1"/>
    <col min="7684" max="7684" width="12.28515625" style="244" customWidth="1"/>
    <col min="7685" max="7685" width="12.140625" style="244" customWidth="1"/>
    <col min="7686" max="7686" width="10.85546875" style="244" customWidth="1"/>
    <col min="7687" max="7687" width="13.140625" style="244" customWidth="1"/>
    <col min="7688" max="7688" width="11.140625" style="244" customWidth="1"/>
    <col min="7689" max="7689" width="13.28515625" style="244" customWidth="1"/>
    <col min="7690" max="7690" width="12.5703125" style="244" customWidth="1"/>
    <col min="7691" max="7691" width="13.42578125" style="244" customWidth="1"/>
    <col min="7692" max="7692" width="10.42578125" style="244" customWidth="1"/>
    <col min="7693" max="7693" width="10.85546875" style="244" customWidth="1"/>
    <col min="7694" max="7694" width="13.28515625" style="244" customWidth="1"/>
    <col min="7695" max="7936" width="8.7109375" style="244"/>
    <col min="7937" max="7937" width="12.42578125" style="244" customWidth="1"/>
    <col min="7938" max="7938" width="23.85546875" style="244" customWidth="1"/>
    <col min="7939" max="7939" width="14.42578125" style="244" customWidth="1"/>
    <col min="7940" max="7940" width="12.28515625" style="244" customWidth="1"/>
    <col min="7941" max="7941" width="12.140625" style="244" customWidth="1"/>
    <col min="7942" max="7942" width="10.85546875" style="244" customWidth="1"/>
    <col min="7943" max="7943" width="13.140625" style="244" customWidth="1"/>
    <col min="7944" max="7944" width="11.140625" style="244" customWidth="1"/>
    <col min="7945" max="7945" width="13.28515625" style="244" customWidth="1"/>
    <col min="7946" max="7946" width="12.5703125" style="244" customWidth="1"/>
    <col min="7947" max="7947" width="13.42578125" style="244" customWidth="1"/>
    <col min="7948" max="7948" width="10.42578125" style="244" customWidth="1"/>
    <col min="7949" max="7949" width="10.85546875" style="244" customWidth="1"/>
    <col min="7950" max="7950" width="13.28515625" style="244" customWidth="1"/>
    <col min="7951" max="8192" width="8.7109375" style="244"/>
    <col min="8193" max="8193" width="12.42578125" style="244" customWidth="1"/>
    <col min="8194" max="8194" width="23.85546875" style="244" customWidth="1"/>
    <col min="8195" max="8195" width="14.42578125" style="244" customWidth="1"/>
    <col min="8196" max="8196" width="12.28515625" style="244" customWidth="1"/>
    <col min="8197" max="8197" width="12.140625" style="244" customWidth="1"/>
    <col min="8198" max="8198" width="10.85546875" style="244" customWidth="1"/>
    <col min="8199" max="8199" width="13.140625" style="244" customWidth="1"/>
    <col min="8200" max="8200" width="11.140625" style="244" customWidth="1"/>
    <col min="8201" max="8201" width="13.28515625" style="244" customWidth="1"/>
    <col min="8202" max="8202" width="12.5703125" style="244" customWidth="1"/>
    <col min="8203" max="8203" width="13.42578125" style="244" customWidth="1"/>
    <col min="8204" max="8204" width="10.42578125" style="244" customWidth="1"/>
    <col min="8205" max="8205" width="10.85546875" style="244" customWidth="1"/>
    <col min="8206" max="8206" width="13.28515625" style="244" customWidth="1"/>
    <col min="8207" max="8448" width="8.7109375" style="244"/>
    <col min="8449" max="8449" width="12.42578125" style="244" customWidth="1"/>
    <col min="8450" max="8450" width="23.85546875" style="244" customWidth="1"/>
    <col min="8451" max="8451" width="14.42578125" style="244" customWidth="1"/>
    <col min="8452" max="8452" width="12.28515625" style="244" customWidth="1"/>
    <col min="8453" max="8453" width="12.140625" style="244" customWidth="1"/>
    <col min="8454" max="8454" width="10.85546875" style="244" customWidth="1"/>
    <col min="8455" max="8455" width="13.140625" style="244" customWidth="1"/>
    <col min="8456" max="8456" width="11.140625" style="244" customWidth="1"/>
    <col min="8457" max="8457" width="13.28515625" style="244" customWidth="1"/>
    <col min="8458" max="8458" width="12.5703125" style="244" customWidth="1"/>
    <col min="8459" max="8459" width="13.42578125" style="244" customWidth="1"/>
    <col min="8460" max="8460" width="10.42578125" style="244" customWidth="1"/>
    <col min="8461" max="8461" width="10.85546875" style="244" customWidth="1"/>
    <col min="8462" max="8462" width="13.28515625" style="244" customWidth="1"/>
    <col min="8463" max="8704" width="8.7109375" style="244"/>
    <col min="8705" max="8705" width="12.42578125" style="244" customWidth="1"/>
    <col min="8706" max="8706" width="23.85546875" style="244" customWidth="1"/>
    <col min="8707" max="8707" width="14.42578125" style="244" customWidth="1"/>
    <col min="8708" max="8708" width="12.28515625" style="244" customWidth="1"/>
    <col min="8709" max="8709" width="12.140625" style="244" customWidth="1"/>
    <col min="8710" max="8710" width="10.85546875" style="244" customWidth="1"/>
    <col min="8711" max="8711" width="13.140625" style="244" customWidth="1"/>
    <col min="8712" max="8712" width="11.140625" style="244" customWidth="1"/>
    <col min="8713" max="8713" width="13.28515625" style="244" customWidth="1"/>
    <col min="8714" max="8714" width="12.5703125" style="244" customWidth="1"/>
    <col min="8715" max="8715" width="13.42578125" style="244" customWidth="1"/>
    <col min="8716" max="8716" width="10.42578125" style="244" customWidth="1"/>
    <col min="8717" max="8717" width="10.85546875" style="244" customWidth="1"/>
    <col min="8718" max="8718" width="13.28515625" style="244" customWidth="1"/>
    <col min="8719" max="8960" width="8.7109375" style="244"/>
    <col min="8961" max="8961" width="12.42578125" style="244" customWidth="1"/>
    <col min="8962" max="8962" width="23.85546875" style="244" customWidth="1"/>
    <col min="8963" max="8963" width="14.42578125" style="244" customWidth="1"/>
    <col min="8964" max="8964" width="12.28515625" style="244" customWidth="1"/>
    <col min="8965" max="8965" width="12.140625" style="244" customWidth="1"/>
    <col min="8966" max="8966" width="10.85546875" style="244" customWidth="1"/>
    <col min="8967" max="8967" width="13.140625" style="244" customWidth="1"/>
    <col min="8968" max="8968" width="11.140625" style="244" customWidth="1"/>
    <col min="8969" max="8969" width="13.28515625" style="244" customWidth="1"/>
    <col min="8970" max="8970" width="12.5703125" style="244" customWidth="1"/>
    <col min="8971" max="8971" width="13.42578125" style="244" customWidth="1"/>
    <col min="8972" max="8972" width="10.42578125" style="244" customWidth="1"/>
    <col min="8973" max="8973" width="10.85546875" style="244" customWidth="1"/>
    <col min="8974" max="8974" width="13.28515625" style="244" customWidth="1"/>
    <col min="8975" max="9216" width="8.7109375" style="244"/>
    <col min="9217" max="9217" width="12.42578125" style="244" customWidth="1"/>
    <col min="9218" max="9218" width="23.85546875" style="244" customWidth="1"/>
    <col min="9219" max="9219" width="14.42578125" style="244" customWidth="1"/>
    <col min="9220" max="9220" width="12.28515625" style="244" customWidth="1"/>
    <col min="9221" max="9221" width="12.140625" style="244" customWidth="1"/>
    <col min="9222" max="9222" width="10.85546875" style="244" customWidth="1"/>
    <col min="9223" max="9223" width="13.140625" style="244" customWidth="1"/>
    <col min="9224" max="9224" width="11.140625" style="244" customWidth="1"/>
    <col min="9225" max="9225" width="13.28515625" style="244" customWidth="1"/>
    <col min="9226" max="9226" width="12.5703125" style="244" customWidth="1"/>
    <col min="9227" max="9227" width="13.42578125" style="244" customWidth="1"/>
    <col min="9228" max="9228" width="10.42578125" style="244" customWidth="1"/>
    <col min="9229" max="9229" width="10.85546875" style="244" customWidth="1"/>
    <col min="9230" max="9230" width="13.28515625" style="244" customWidth="1"/>
    <col min="9231" max="9472" width="8.7109375" style="244"/>
    <col min="9473" max="9473" width="12.42578125" style="244" customWidth="1"/>
    <col min="9474" max="9474" width="23.85546875" style="244" customWidth="1"/>
    <col min="9475" max="9475" width="14.42578125" style="244" customWidth="1"/>
    <col min="9476" max="9476" width="12.28515625" style="244" customWidth="1"/>
    <col min="9477" max="9477" width="12.140625" style="244" customWidth="1"/>
    <col min="9478" max="9478" width="10.85546875" style="244" customWidth="1"/>
    <col min="9479" max="9479" width="13.140625" style="244" customWidth="1"/>
    <col min="9480" max="9480" width="11.140625" style="244" customWidth="1"/>
    <col min="9481" max="9481" width="13.28515625" style="244" customWidth="1"/>
    <col min="9482" max="9482" width="12.5703125" style="244" customWidth="1"/>
    <col min="9483" max="9483" width="13.42578125" style="244" customWidth="1"/>
    <col min="9484" max="9484" width="10.42578125" style="244" customWidth="1"/>
    <col min="9485" max="9485" width="10.85546875" style="244" customWidth="1"/>
    <col min="9486" max="9486" width="13.28515625" style="244" customWidth="1"/>
    <col min="9487" max="9728" width="8.7109375" style="244"/>
    <col min="9729" max="9729" width="12.42578125" style="244" customWidth="1"/>
    <col min="9730" max="9730" width="23.85546875" style="244" customWidth="1"/>
    <col min="9731" max="9731" width="14.42578125" style="244" customWidth="1"/>
    <col min="9732" max="9732" width="12.28515625" style="244" customWidth="1"/>
    <col min="9733" max="9733" width="12.140625" style="244" customWidth="1"/>
    <col min="9734" max="9734" width="10.85546875" style="244" customWidth="1"/>
    <col min="9735" max="9735" width="13.140625" style="244" customWidth="1"/>
    <col min="9736" max="9736" width="11.140625" style="244" customWidth="1"/>
    <col min="9737" max="9737" width="13.28515625" style="244" customWidth="1"/>
    <col min="9738" max="9738" width="12.5703125" style="244" customWidth="1"/>
    <col min="9739" max="9739" width="13.42578125" style="244" customWidth="1"/>
    <col min="9740" max="9740" width="10.42578125" style="244" customWidth="1"/>
    <col min="9741" max="9741" width="10.85546875" style="244" customWidth="1"/>
    <col min="9742" max="9742" width="13.28515625" style="244" customWidth="1"/>
    <col min="9743" max="9984" width="8.7109375" style="244"/>
    <col min="9985" max="9985" width="12.42578125" style="244" customWidth="1"/>
    <col min="9986" max="9986" width="23.85546875" style="244" customWidth="1"/>
    <col min="9987" max="9987" width="14.42578125" style="244" customWidth="1"/>
    <col min="9988" max="9988" width="12.28515625" style="244" customWidth="1"/>
    <col min="9989" max="9989" width="12.140625" style="244" customWidth="1"/>
    <col min="9990" max="9990" width="10.85546875" style="244" customWidth="1"/>
    <col min="9991" max="9991" width="13.140625" style="244" customWidth="1"/>
    <col min="9992" max="9992" width="11.140625" style="244" customWidth="1"/>
    <col min="9993" max="9993" width="13.28515625" style="244" customWidth="1"/>
    <col min="9994" max="9994" width="12.5703125" style="244" customWidth="1"/>
    <col min="9995" max="9995" width="13.42578125" style="244" customWidth="1"/>
    <col min="9996" max="9996" width="10.42578125" style="244" customWidth="1"/>
    <col min="9997" max="9997" width="10.85546875" style="244" customWidth="1"/>
    <col min="9998" max="9998" width="13.28515625" style="244" customWidth="1"/>
    <col min="9999" max="10240" width="8.7109375" style="244"/>
    <col min="10241" max="10241" width="12.42578125" style="244" customWidth="1"/>
    <col min="10242" max="10242" width="23.85546875" style="244" customWidth="1"/>
    <col min="10243" max="10243" width="14.42578125" style="244" customWidth="1"/>
    <col min="10244" max="10244" width="12.28515625" style="244" customWidth="1"/>
    <col min="10245" max="10245" width="12.140625" style="244" customWidth="1"/>
    <col min="10246" max="10246" width="10.85546875" style="244" customWidth="1"/>
    <col min="10247" max="10247" width="13.140625" style="244" customWidth="1"/>
    <col min="10248" max="10248" width="11.140625" style="244" customWidth="1"/>
    <col min="10249" max="10249" width="13.28515625" style="244" customWidth="1"/>
    <col min="10250" max="10250" width="12.5703125" style="244" customWidth="1"/>
    <col min="10251" max="10251" width="13.42578125" style="244" customWidth="1"/>
    <col min="10252" max="10252" width="10.42578125" style="244" customWidth="1"/>
    <col min="10253" max="10253" width="10.85546875" style="244" customWidth="1"/>
    <col min="10254" max="10254" width="13.28515625" style="244" customWidth="1"/>
    <col min="10255" max="10496" width="8.7109375" style="244"/>
    <col min="10497" max="10497" width="12.42578125" style="244" customWidth="1"/>
    <col min="10498" max="10498" width="23.85546875" style="244" customWidth="1"/>
    <col min="10499" max="10499" width="14.42578125" style="244" customWidth="1"/>
    <col min="10500" max="10500" width="12.28515625" style="244" customWidth="1"/>
    <col min="10501" max="10501" width="12.140625" style="244" customWidth="1"/>
    <col min="10502" max="10502" width="10.85546875" style="244" customWidth="1"/>
    <col min="10503" max="10503" width="13.140625" style="244" customWidth="1"/>
    <col min="10504" max="10504" width="11.140625" style="244" customWidth="1"/>
    <col min="10505" max="10505" width="13.28515625" style="244" customWidth="1"/>
    <col min="10506" max="10506" width="12.5703125" style="244" customWidth="1"/>
    <col min="10507" max="10507" width="13.42578125" style="244" customWidth="1"/>
    <col min="10508" max="10508" width="10.42578125" style="244" customWidth="1"/>
    <col min="10509" max="10509" width="10.85546875" style="244" customWidth="1"/>
    <col min="10510" max="10510" width="13.28515625" style="244" customWidth="1"/>
    <col min="10511" max="10752" width="8.7109375" style="244"/>
    <col min="10753" max="10753" width="12.42578125" style="244" customWidth="1"/>
    <col min="10754" max="10754" width="23.85546875" style="244" customWidth="1"/>
    <col min="10755" max="10755" width="14.42578125" style="244" customWidth="1"/>
    <col min="10756" max="10756" width="12.28515625" style="244" customWidth="1"/>
    <col min="10757" max="10757" width="12.140625" style="244" customWidth="1"/>
    <col min="10758" max="10758" width="10.85546875" style="244" customWidth="1"/>
    <col min="10759" max="10759" width="13.140625" style="244" customWidth="1"/>
    <col min="10760" max="10760" width="11.140625" style="244" customWidth="1"/>
    <col min="10761" max="10761" width="13.28515625" style="244" customWidth="1"/>
    <col min="10762" max="10762" width="12.5703125" style="244" customWidth="1"/>
    <col min="10763" max="10763" width="13.42578125" style="244" customWidth="1"/>
    <col min="10764" max="10764" width="10.42578125" style="244" customWidth="1"/>
    <col min="10765" max="10765" width="10.85546875" style="244" customWidth="1"/>
    <col min="10766" max="10766" width="13.28515625" style="244" customWidth="1"/>
    <col min="10767" max="11008" width="8.7109375" style="244"/>
    <col min="11009" max="11009" width="12.42578125" style="244" customWidth="1"/>
    <col min="11010" max="11010" width="23.85546875" style="244" customWidth="1"/>
    <col min="11011" max="11011" width="14.42578125" style="244" customWidth="1"/>
    <col min="11012" max="11012" width="12.28515625" style="244" customWidth="1"/>
    <col min="11013" max="11013" width="12.140625" style="244" customWidth="1"/>
    <col min="11014" max="11014" width="10.85546875" style="244" customWidth="1"/>
    <col min="11015" max="11015" width="13.140625" style="244" customWidth="1"/>
    <col min="11016" max="11016" width="11.140625" style="244" customWidth="1"/>
    <col min="11017" max="11017" width="13.28515625" style="244" customWidth="1"/>
    <col min="11018" max="11018" width="12.5703125" style="244" customWidth="1"/>
    <col min="11019" max="11019" width="13.42578125" style="244" customWidth="1"/>
    <col min="11020" max="11020" width="10.42578125" style="244" customWidth="1"/>
    <col min="11021" max="11021" width="10.85546875" style="244" customWidth="1"/>
    <col min="11022" max="11022" width="13.28515625" style="244" customWidth="1"/>
    <col min="11023" max="11264" width="8.7109375" style="244"/>
    <col min="11265" max="11265" width="12.42578125" style="244" customWidth="1"/>
    <col min="11266" max="11266" width="23.85546875" style="244" customWidth="1"/>
    <col min="11267" max="11267" width="14.42578125" style="244" customWidth="1"/>
    <col min="11268" max="11268" width="12.28515625" style="244" customWidth="1"/>
    <col min="11269" max="11269" width="12.140625" style="244" customWidth="1"/>
    <col min="11270" max="11270" width="10.85546875" style="244" customWidth="1"/>
    <col min="11271" max="11271" width="13.140625" style="244" customWidth="1"/>
    <col min="11272" max="11272" width="11.140625" style="244" customWidth="1"/>
    <col min="11273" max="11273" width="13.28515625" style="244" customWidth="1"/>
    <col min="11274" max="11274" width="12.5703125" style="244" customWidth="1"/>
    <col min="11275" max="11275" width="13.42578125" style="244" customWidth="1"/>
    <col min="11276" max="11276" width="10.42578125" style="244" customWidth="1"/>
    <col min="11277" max="11277" width="10.85546875" style="244" customWidth="1"/>
    <col min="11278" max="11278" width="13.28515625" style="244" customWidth="1"/>
    <col min="11279" max="11520" width="8.7109375" style="244"/>
    <col min="11521" max="11521" width="12.42578125" style="244" customWidth="1"/>
    <col min="11522" max="11522" width="23.85546875" style="244" customWidth="1"/>
    <col min="11523" max="11523" width="14.42578125" style="244" customWidth="1"/>
    <col min="11524" max="11524" width="12.28515625" style="244" customWidth="1"/>
    <col min="11525" max="11525" width="12.140625" style="244" customWidth="1"/>
    <col min="11526" max="11526" width="10.85546875" style="244" customWidth="1"/>
    <col min="11527" max="11527" width="13.140625" style="244" customWidth="1"/>
    <col min="11528" max="11528" width="11.140625" style="244" customWidth="1"/>
    <col min="11529" max="11529" width="13.28515625" style="244" customWidth="1"/>
    <col min="11530" max="11530" width="12.5703125" style="244" customWidth="1"/>
    <col min="11531" max="11531" width="13.42578125" style="244" customWidth="1"/>
    <col min="11532" max="11532" width="10.42578125" style="244" customWidth="1"/>
    <col min="11533" max="11533" width="10.85546875" style="244" customWidth="1"/>
    <col min="11534" max="11534" width="13.28515625" style="244" customWidth="1"/>
    <col min="11535" max="11776" width="8.7109375" style="244"/>
    <col min="11777" max="11777" width="12.42578125" style="244" customWidth="1"/>
    <col min="11778" max="11778" width="23.85546875" style="244" customWidth="1"/>
    <col min="11779" max="11779" width="14.42578125" style="244" customWidth="1"/>
    <col min="11780" max="11780" width="12.28515625" style="244" customWidth="1"/>
    <col min="11781" max="11781" width="12.140625" style="244" customWidth="1"/>
    <col min="11782" max="11782" width="10.85546875" style="244" customWidth="1"/>
    <col min="11783" max="11783" width="13.140625" style="244" customWidth="1"/>
    <col min="11784" max="11784" width="11.140625" style="244" customWidth="1"/>
    <col min="11785" max="11785" width="13.28515625" style="244" customWidth="1"/>
    <col min="11786" max="11786" width="12.5703125" style="244" customWidth="1"/>
    <col min="11787" max="11787" width="13.42578125" style="244" customWidth="1"/>
    <col min="11788" max="11788" width="10.42578125" style="244" customWidth="1"/>
    <col min="11789" max="11789" width="10.85546875" style="244" customWidth="1"/>
    <col min="11790" max="11790" width="13.28515625" style="244" customWidth="1"/>
    <col min="11791" max="12032" width="8.7109375" style="244"/>
    <col min="12033" max="12033" width="12.42578125" style="244" customWidth="1"/>
    <col min="12034" max="12034" width="23.85546875" style="244" customWidth="1"/>
    <col min="12035" max="12035" width="14.42578125" style="244" customWidth="1"/>
    <col min="12036" max="12036" width="12.28515625" style="244" customWidth="1"/>
    <col min="12037" max="12037" width="12.140625" style="244" customWidth="1"/>
    <col min="12038" max="12038" width="10.85546875" style="244" customWidth="1"/>
    <col min="12039" max="12039" width="13.140625" style="244" customWidth="1"/>
    <col min="12040" max="12040" width="11.140625" style="244" customWidth="1"/>
    <col min="12041" max="12041" width="13.28515625" style="244" customWidth="1"/>
    <col min="12042" max="12042" width="12.5703125" style="244" customWidth="1"/>
    <col min="12043" max="12043" width="13.42578125" style="244" customWidth="1"/>
    <col min="12044" max="12044" width="10.42578125" style="244" customWidth="1"/>
    <col min="12045" max="12045" width="10.85546875" style="244" customWidth="1"/>
    <col min="12046" max="12046" width="13.28515625" style="244" customWidth="1"/>
    <col min="12047" max="12288" width="8.7109375" style="244"/>
    <col min="12289" max="12289" width="12.42578125" style="244" customWidth="1"/>
    <col min="12290" max="12290" width="23.85546875" style="244" customWidth="1"/>
    <col min="12291" max="12291" width="14.42578125" style="244" customWidth="1"/>
    <col min="12292" max="12292" width="12.28515625" style="244" customWidth="1"/>
    <col min="12293" max="12293" width="12.140625" style="244" customWidth="1"/>
    <col min="12294" max="12294" width="10.85546875" style="244" customWidth="1"/>
    <col min="12295" max="12295" width="13.140625" style="244" customWidth="1"/>
    <col min="12296" max="12296" width="11.140625" style="244" customWidth="1"/>
    <col min="12297" max="12297" width="13.28515625" style="244" customWidth="1"/>
    <col min="12298" max="12298" width="12.5703125" style="244" customWidth="1"/>
    <col min="12299" max="12299" width="13.42578125" style="244" customWidth="1"/>
    <col min="12300" max="12300" width="10.42578125" style="244" customWidth="1"/>
    <col min="12301" max="12301" width="10.85546875" style="244" customWidth="1"/>
    <col min="12302" max="12302" width="13.28515625" style="244" customWidth="1"/>
    <col min="12303" max="12544" width="8.7109375" style="244"/>
    <col min="12545" max="12545" width="12.42578125" style="244" customWidth="1"/>
    <col min="12546" max="12546" width="23.85546875" style="244" customWidth="1"/>
    <col min="12547" max="12547" width="14.42578125" style="244" customWidth="1"/>
    <col min="12548" max="12548" width="12.28515625" style="244" customWidth="1"/>
    <col min="12549" max="12549" width="12.140625" style="244" customWidth="1"/>
    <col min="12550" max="12550" width="10.85546875" style="244" customWidth="1"/>
    <col min="12551" max="12551" width="13.140625" style="244" customWidth="1"/>
    <col min="12552" max="12552" width="11.140625" style="244" customWidth="1"/>
    <col min="12553" max="12553" width="13.28515625" style="244" customWidth="1"/>
    <col min="12554" max="12554" width="12.5703125" style="244" customWidth="1"/>
    <col min="12555" max="12555" width="13.42578125" style="244" customWidth="1"/>
    <col min="12556" max="12556" width="10.42578125" style="244" customWidth="1"/>
    <col min="12557" max="12557" width="10.85546875" style="244" customWidth="1"/>
    <col min="12558" max="12558" width="13.28515625" style="244" customWidth="1"/>
    <col min="12559" max="12800" width="8.7109375" style="244"/>
    <col min="12801" max="12801" width="12.42578125" style="244" customWidth="1"/>
    <col min="12802" max="12802" width="23.85546875" style="244" customWidth="1"/>
    <col min="12803" max="12803" width="14.42578125" style="244" customWidth="1"/>
    <col min="12804" max="12804" width="12.28515625" style="244" customWidth="1"/>
    <col min="12805" max="12805" width="12.140625" style="244" customWidth="1"/>
    <col min="12806" max="12806" width="10.85546875" style="244" customWidth="1"/>
    <col min="12807" max="12807" width="13.140625" style="244" customWidth="1"/>
    <col min="12808" max="12808" width="11.140625" style="244" customWidth="1"/>
    <col min="12809" max="12809" width="13.28515625" style="244" customWidth="1"/>
    <col min="12810" max="12810" width="12.5703125" style="244" customWidth="1"/>
    <col min="12811" max="12811" width="13.42578125" style="244" customWidth="1"/>
    <col min="12812" max="12812" width="10.42578125" style="244" customWidth="1"/>
    <col min="12813" max="12813" width="10.85546875" style="244" customWidth="1"/>
    <col min="12814" max="12814" width="13.28515625" style="244" customWidth="1"/>
    <col min="12815" max="13056" width="8.7109375" style="244"/>
    <col min="13057" max="13057" width="12.42578125" style="244" customWidth="1"/>
    <col min="13058" max="13058" width="23.85546875" style="244" customWidth="1"/>
    <col min="13059" max="13059" width="14.42578125" style="244" customWidth="1"/>
    <col min="13060" max="13060" width="12.28515625" style="244" customWidth="1"/>
    <col min="13061" max="13061" width="12.140625" style="244" customWidth="1"/>
    <col min="13062" max="13062" width="10.85546875" style="244" customWidth="1"/>
    <col min="13063" max="13063" width="13.140625" style="244" customWidth="1"/>
    <col min="13064" max="13064" width="11.140625" style="244" customWidth="1"/>
    <col min="13065" max="13065" width="13.28515625" style="244" customWidth="1"/>
    <col min="13066" max="13066" width="12.5703125" style="244" customWidth="1"/>
    <col min="13067" max="13067" width="13.42578125" style="244" customWidth="1"/>
    <col min="13068" max="13068" width="10.42578125" style="244" customWidth="1"/>
    <col min="13069" max="13069" width="10.85546875" style="244" customWidth="1"/>
    <col min="13070" max="13070" width="13.28515625" style="244" customWidth="1"/>
    <col min="13071" max="13312" width="8.7109375" style="244"/>
    <col min="13313" max="13313" width="12.42578125" style="244" customWidth="1"/>
    <col min="13314" max="13314" width="23.85546875" style="244" customWidth="1"/>
    <col min="13315" max="13315" width="14.42578125" style="244" customWidth="1"/>
    <col min="13316" max="13316" width="12.28515625" style="244" customWidth="1"/>
    <col min="13317" max="13317" width="12.140625" style="244" customWidth="1"/>
    <col min="13318" max="13318" width="10.85546875" style="244" customWidth="1"/>
    <col min="13319" max="13319" width="13.140625" style="244" customWidth="1"/>
    <col min="13320" max="13320" width="11.140625" style="244" customWidth="1"/>
    <col min="13321" max="13321" width="13.28515625" style="244" customWidth="1"/>
    <col min="13322" max="13322" width="12.5703125" style="244" customWidth="1"/>
    <col min="13323" max="13323" width="13.42578125" style="244" customWidth="1"/>
    <col min="13324" max="13324" width="10.42578125" style="244" customWidth="1"/>
    <col min="13325" max="13325" width="10.85546875" style="244" customWidth="1"/>
    <col min="13326" max="13326" width="13.28515625" style="244" customWidth="1"/>
    <col min="13327" max="13568" width="8.7109375" style="244"/>
    <col min="13569" max="13569" width="12.42578125" style="244" customWidth="1"/>
    <col min="13570" max="13570" width="23.85546875" style="244" customWidth="1"/>
    <col min="13571" max="13571" width="14.42578125" style="244" customWidth="1"/>
    <col min="13572" max="13572" width="12.28515625" style="244" customWidth="1"/>
    <col min="13573" max="13573" width="12.140625" style="244" customWidth="1"/>
    <col min="13574" max="13574" width="10.85546875" style="244" customWidth="1"/>
    <col min="13575" max="13575" width="13.140625" style="244" customWidth="1"/>
    <col min="13576" max="13576" width="11.140625" style="244" customWidth="1"/>
    <col min="13577" max="13577" width="13.28515625" style="244" customWidth="1"/>
    <col min="13578" max="13578" width="12.5703125" style="244" customWidth="1"/>
    <col min="13579" max="13579" width="13.42578125" style="244" customWidth="1"/>
    <col min="13580" max="13580" width="10.42578125" style="244" customWidth="1"/>
    <col min="13581" max="13581" width="10.85546875" style="244" customWidth="1"/>
    <col min="13582" max="13582" width="13.28515625" style="244" customWidth="1"/>
    <col min="13583" max="13824" width="8.7109375" style="244"/>
    <col min="13825" max="13825" width="12.42578125" style="244" customWidth="1"/>
    <col min="13826" max="13826" width="23.85546875" style="244" customWidth="1"/>
    <col min="13827" max="13827" width="14.42578125" style="244" customWidth="1"/>
    <col min="13828" max="13828" width="12.28515625" style="244" customWidth="1"/>
    <col min="13829" max="13829" width="12.140625" style="244" customWidth="1"/>
    <col min="13830" max="13830" width="10.85546875" style="244" customWidth="1"/>
    <col min="13831" max="13831" width="13.140625" style="244" customWidth="1"/>
    <col min="13832" max="13832" width="11.140625" style="244" customWidth="1"/>
    <col min="13833" max="13833" width="13.28515625" style="244" customWidth="1"/>
    <col min="13834" max="13834" width="12.5703125" style="244" customWidth="1"/>
    <col min="13835" max="13835" width="13.42578125" style="244" customWidth="1"/>
    <col min="13836" max="13836" width="10.42578125" style="244" customWidth="1"/>
    <col min="13837" max="13837" width="10.85546875" style="244" customWidth="1"/>
    <col min="13838" max="13838" width="13.28515625" style="244" customWidth="1"/>
    <col min="13839" max="14080" width="8.7109375" style="244"/>
    <col min="14081" max="14081" width="12.42578125" style="244" customWidth="1"/>
    <col min="14082" max="14082" width="23.85546875" style="244" customWidth="1"/>
    <col min="14083" max="14083" width="14.42578125" style="244" customWidth="1"/>
    <col min="14084" max="14084" width="12.28515625" style="244" customWidth="1"/>
    <col min="14085" max="14085" width="12.140625" style="244" customWidth="1"/>
    <col min="14086" max="14086" width="10.85546875" style="244" customWidth="1"/>
    <col min="14087" max="14087" width="13.140625" style="244" customWidth="1"/>
    <col min="14088" max="14088" width="11.140625" style="244" customWidth="1"/>
    <col min="14089" max="14089" width="13.28515625" style="244" customWidth="1"/>
    <col min="14090" max="14090" width="12.5703125" style="244" customWidth="1"/>
    <col min="14091" max="14091" width="13.42578125" style="244" customWidth="1"/>
    <col min="14092" max="14092" width="10.42578125" style="244" customWidth="1"/>
    <col min="14093" max="14093" width="10.85546875" style="244" customWidth="1"/>
    <col min="14094" max="14094" width="13.28515625" style="244" customWidth="1"/>
    <col min="14095" max="14336" width="8.7109375" style="244"/>
    <col min="14337" max="14337" width="12.42578125" style="244" customWidth="1"/>
    <col min="14338" max="14338" width="23.85546875" style="244" customWidth="1"/>
    <col min="14339" max="14339" width="14.42578125" style="244" customWidth="1"/>
    <col min="14340" max="14340" width="12.28515625" style="244" customWidth="1"/>
    <col min="14341" max="14341" width="12.140625" style="244" customWidth="1"/>
    <col min="14342" max="14342" width="10.85546875" style="244" customWidth="1"/>
    <col min="14343" max="14343" width="13.140625" style="244" customWidth="1"/>
    <col min="14344" max="14344" width="11.140625" style="244" customWidth="1"/>
    <col min="14345" max="14345" width="13.28515625" style="244" customWidth="1"/>
    <col min="14346" max="14346" width="12.5703125" style="244" customWidth="1"/>
    <col min="14347" max="14347" width="13.42578125" style="244" customWidth="1"/>
    <col min="14348" max="14348" width="10.42578125" style="244" customWidth="1"/>
    <col min="14349" max="14349" width="10.85546875" style="244" customWidth="1"/>
    <col min="14350" max="14350" width="13.28515625" style="244" customWidth="1"/>
    <col min="14351" max="14592" width="8.7109375" style="244"/>
    <col min="14593" max="14593" width="12.42578125" style="244" customWidth="1"/>
    <col min="14594" max="14594" width="23.85546875" style="244" customWidth="1"/>
    <col min="14595" max="14595" width="14.42578125" style="244" customWidth="1"/>
    <col min="14596" max="14596" width="12.28515625" style="244" customWidth="1"/>
    <col min="14597" max="14597" width="12.140625" style="244" customWidth="1"/>
    <col min="14598" max="14598" width="10.85546875" style="244" customWidth="1"/>
    <col min="14599" max="14599" width="13.140625" style="244" customWidth="1"/>
    <col min="14600" max="14600" width="11.140625" style="244" customWidth="1"/>
    <col min="14601" max="14601" width="13.28515625" style="244" customWidth="1"/>
    <col min="14602" max="14602" width="12.5703125" style="244" customWidth="1"/>
    <col min="14603" max="14603" width="13.42578125" style="244" customWidth="1"/>
    <col min="14604" max="14604" width="10.42578125" style="244" customWidth="1"/>
    <col min="14605" max="14605" width="10.85546875" style="244" customWidth="1"/>
    <col min="14606" max="14606" width="13.28515625" style="244" customWidth="1"/>
    <col min="14607" max="14848" width="8.7109375" style="244"/>
    <col min="14849" max="14849" width="12.42578125" style="244" customWidth="1"/>
    <col min="14850" max="14850" width="23.85546875" style="244" customWidth="1"/>
    <col min="14851" max="14851" width="14.42578125" style="244" customWidth="1"/>
    <col min="14852" max="14852" width="12.28515625" style="244" customWidth="1"/>
    <col min="14853" max="14853" width="12.140625" style="244" customWidth="1"/>
    <col min="14854" max="14854" width="10.85546875" style="244" customWidth="1"/>
    <col min="14855" max="14855" width="13.140625" style="244" customWidth="1"/>
    <col min="14856" max="14856" width="11.140625" style="244" customWidth="1"/>
    <col min="14857" max="14857" width="13.28515625" style="244" customWidth="1"/>
    <col min="14858" max="14858" width="12.5703125" style="244" customWidth="1"/>
    <col min="14859" max="14859" width="13.42578125" style="244" customWidth="1"/>
    <col min="14860" max="14860" width="10.42578125" style="244" customWidth="1"/>
    <col min="14861" max="14861" width="10.85546875" style="244" customWidth="1"/>
    <col min="14862" max="14862" width="13.28515625" style="244" customWidth="1"/>
    <col min="14863" max="15104" width="8.7109375" style="244"/>
    <col min="15105" max="15105" width="12.42578125" style="244" customWidth="1"/>
    <col min="15106" max="15106" width="23.85546875" style="244" customWidth="1"/>
    <col min="15107" max="15107" width="14.42578125" style="244" customWidth="1"/>
    <col min="15108" max="15108" width="12.28515625" style="244" customWidth="1"/>
    <col min="15109" max="15109" width="12.140625" style="244" customWidth="1"/>
    <col min="15110" max="15110" width="10.85546875" style="244" customWidth="1"/>
    <col min="15111" max="15111" width="13.140625" style="244" customWidth="1"/>
    <col min="15112" max="15112" width="11.140625" style="244" customWidth="1"/>
    <col min="15113" max="15113" width="13.28515625" style="244" customWidth="1"/>
    <col min="15114" max="15114" width="12.5703125" style="244" customWidth="1"/>
    <col min="15115" max="15115" width="13.42578125" style="244" customWidth="1"/>
    <col min="15116" max="15116" width="10.42578125" style="244" customWidth="1"/>
    <col min="15117" max="15117" width="10.85546875" style="244" customWidth="1"/>
    <col min="15118" max="15118" width="13.28515625" style="244" customWidth="1"/>
    <col min="15119" max="15360" width="8.7109375" style="244"/>
    <col min="15361" max="15361" width="12.42578125" style="244" customWidth="1"/>
    <col min="15362" max="15362" width="23.85546875" style="244" customWidth="1"/>
    <col min="15363" max="15363" width="14.42578125" style="244" customWidth="1"/>
    <col min="15364" max="15364" width="12.28515625" style="244" customWidth="1"/>
    <col min="15365" max="15365" width="12.140625" style="244" customWidth="1"/>
    <col min="15366" max="15366" width="10.85546875" style="244" customWidth="1"/>
    <col min="15367" max="15367" width="13.140625" style="244" customWidth="1"/>
    <col min="15368" max="15368" width="11.140625" style="244" customWidth="1"/>
    <col min="15369" max="15369" width="13.28515625" style="244" customWidth="1"/>
    <col min="15370" max="15370" width="12.5703125" style="244" customWidth="1"/>
    <col min="15371" max="15371" width="13.42578125" style="244" customWidth="1"/>
    <col min="15372" max="15372" width="10.42578125" style="244" customWidth="1"/>
    <col min="15373" max="15373" width="10.85546875" style="244" customWidth="1"/>
    <col min="15374" max="15374" width="13.28515625" style="244" customWidth="1"/>
    <col min="15375" max="15616" width="8.7109375" style="244"/>
    <col min="15617" max="15617" width="12.42578125" style="244" customWidth="1"/>
    <col min="15618" max="15618" width="23.85546875" style="244" customWidth="1"/>
    <col min="15619" max="15619" width="14.42578125" style="244" customWidth="1"/>
    <col min="15620" max="15620" width="12.28515625" style="244" customWidth="1"/>
    <col min="15621" max="15621" width="12.140625" style="244" customWidth="1"/>
    <col min="15622" max="15622" width="10.85546875" style="244" customWidth="1"/>
    <col min="15623" max="15623" width="13.140625" style="244" customWidth="1"/>
    <col min="15624" max="15624" width="11.140625" style="244" customWidth="1"/>
    <col min="15625" max="15625" width="13.28515625" style="244" customWidth="1"/>
    <col min="15626" max="15626" width="12.5703125" style="244" customWidth="1"/>
    <col min="15627" max="15627" width="13.42578125" style="244" customWidth="1"/>
    <col min="15628" max="15628" width="10.42578125" style="244" customWidth="1"/>
    <col min="15629" max="15629" width="10.85546875" style="244" customWidth="1"/>
    <col min="15630" max="15630" width="13.28515625" style="244" customWidth="1"/>
    <col min="15631" max="15872" width="8.7109375" style="244"/>
    <col min="15873" max="15873" width="12.42578125" style="244" customWidth="1"/>
    <col min="15874" max="15874" width="23.85546875" style="244" customWidth="1"/>
    <col min="15875" max="15875" width="14.42578125" style="244" customWidth="1"/>
    <col min="15876" max="15876" width="12.28515625" style="244" customWidth="1"/>
    <col min="15877" max="15877" width="12.140625" style="244" customWidth="1"/>
    <col min="15878" max="15878" width="10.85546875" style="244" customWidth="1"/>
    <col min="15879" max="15879" width="13.140625" style="244" customWidth="1"/>
    <col min="15880" max="15880" width="11.140625" style="244" customWidth="1"/>
    <col min="15881" max="15881" width="13.28515625" style="244" customWidth="1"/>
    <col min="15882" max="15882" width="12.5703125" style="244" customWidth="1"/>
    <col min="15883" max="15883" width="13.42578125" style="244" customWidth="1"/>
    <col min="15884" max="15884" width="10.42578125" style="244" customWidth="1"/>
    <col min="15885" max="15885" width="10.85546875" style="244" customWidth="1"/>
    <col min="15886" max="15886" width="13.28515625" style="244" customWidth="1"/>
    <col min="15887" max="16128" width="8.7109375" style="244"/>
    <col min="16129" max="16129" width="12.42578125" style="244" customWidth="1"/>
    <col min="16130" max="16130" width="23.85546875" style="244" customWidth="1"/>
    <col min="16131" max="16131" width="14.42578125" style="244" customWidth="1"/>
    <col min="16132" max="16132" width="12.28515625" style="244" customWidth="1"/>
    <col min="16133" max="16133" width="12.140625" style="244" customWidth="1"/>
    <col min="16134" max="16134" width="10.85546875" style="244" customWidth="1"/>
    <col min="16135" max="16135" width="13.140625" style="244" customWidth="1"/>
    <col min="16136" max="16136" width="11.140625" style="244" customWidth="1"/>
    <col min="16137" max="16137" width="13.28515625" style="244" customWidth="1"/>
    <col min="16138" max="16138" width="12.5703125" style="244" customWidth="1"/>
    <col min="16139" max="16139" width="13.42578125" style="244" customWidth="1"/>
    <col min="16140" max="16140" width="10.42578125" style="244" customWidth="1"/>
    <col min="16141" max="16141" width="10.85546875" style="244" customWidth="1"/>
    <col min="16142" max="16142" width="13.28515625" style="244" customWidth="1"/>
    <col min="16143" max="16384" width="8.7109375" style="244"/>
  </cols>
  <sheetData>
    <row r="1" spans="1:15" ht="76.5" customHeight="1" x14ac:dyDescent="0.2">
      <c r="A1" s="240" t="s">
        <v>153</v>
      </c>
      <c r="B1" s="240" t="s">
        <v>154</v>
      </c>
      <c r="C1" s="240" t="s">
        <v>155</v>
      </c>
      <c r="D1" s="240" t="s">
        <v>156</v>
      </c>
      <c r="E1" s="240" t="s">
        <v>157</v>
      </c>
      <c r="F1" s="240" t="s">
        <v>158</v>
      </c>
      <c r="G1" s="240" t="s">
        <v>159</v>
      </c>
      <c r="H1" s="240" t="s">
        <v>160</v>
      </c>
      <c r="I1" s="241" t="s">
        <v>161</v>
      </c>
      <c r="J1" s="242" t="s">
        <v>11</v>
      </c>
      <c r="K1" s="242" t="s">
        <v>162</v>
      </c>
      <c r="L1" s="241" t="s">
        <v>163</v>
      </c>
      <c r="M1" s="243" t="s">
        <v>164</v>
      </c>
      <c r="N1" s="243" t="s">
        <v>165</v>
      </c>
    </row>
    <row r="2" spans="1:15" x14ac:dyDescent="0.2">
      <c r="A2" s="469" t="s">
        <v>166</v>
      </c>
      <c r="B2" s="470"/>
      <c r="C2" s="470"/>
      <c r="D2" s="470"/>
      <c r="E2" s="470"/>
      <c r="F2" s="470"/>
      <c r="G2" s="470"/>
      <c r="H2" s="470"/>
      <c r="I2" s="470"/>
      <c r="J2" s="470"/>
      <c r="K2" s="470"/>
      <c r="L2" s="470"/>
      <c r="M2" s="470"/>
      <c r="N2" s="471"/>
    </row>
    <row r="3" spans="1:15" x14ac:dyDescent="0.2">
      <c r="A3" s="472" t="s">
        <v>167</v>
      </c>
      <c r="B3" s="473"/>
      <c r="C3" s="473"/>
      <c r="D3" s="473"/>
      <c r="E3" s="473"/>
      <c r="F3" s="473"/>
      <c r="G3" s="473"/>
      <c r="H3" s="473"/>
      <c r="I3" s="473"/>
      <c r="J3" s="473"/>
      <c r="K3" s="473"/>
      <c r="L3" s="473"/>
      <c r="M3" s="473"/>
      <c r="N3" s="474"/>
    </row>
    <row r="4" spans="1:15" ht="29.25" customHeight="1" x14ac:dyDescent="0.25">
      <c r="A4" s="245">
        <v>248.4</v>
      </c>
      <c r="B4" s="246" t="s">
        <v>19</v>
      </c>
      <c r="C4" s="247">
        <v>47</v>
      </c>
      <c r="D4" s="248">
        <v>1</v>
      </c>
      <c r="E4" s="248">
        <f t="shared" ref="E4:E11" si="0">SUM(C4*D4)</f>
        <v>47</v>
      </c>
      <c r="F4" s="248">
        <v>40</v>
      </c>
      <c r="G4" s="249">
        <f t="shared" ref="G4:G11" si="1">SUM(E4*F4)</f>
        <v>1880</v>
      </c>
      <c r="H4" s="249">
        <v>1800</v>
      </c>
      <c r="I4" s="249">
        <f>SUM(G4-H4)</f>
        <v>80</v>
      </c>
      <c r="J4" s="249"/>
      <c r="K4" s="249"/>
      <c r="L4" s="250" t="s">
        <v>168</v>
      </c>
      <c r="M4" s="251">
        <v>29.44</v>
      </c>
      <c r="N4" s="252">
        <f>SUM(G4*M4)</f>
        <v>55347.200000000004</v>
      </c>
    </row>
    <row r="5" spans="1:15" ht="26.25" x14ac:dyDescent="0.25">
      <c r="A5" s="253" t="s">
        <v>169</v>
      </c>
      <c r="B5" s="254" t="s">
        <v>170</v>
      </c>
      <c r="C5" s="255">
        <v>47</v>
      </c>
      <c r="D5" s="256">
        <f>SUM(E5/C5)</f>
        <v>167.05723404255318</v>
      </c>
      <c r="E5" s="257">
        <f>C15</f>
        <v>7851.69</v>
      </c>
      <c r="F5" s="257">
        <v>1</v>
      </c>
      <c r="G5" s="258">
        <f t="shared" si="1"/>
        <v>7851.69</v>
      </c>
      <c r="H5" s="258">
        <v>7947</v>
      </c>
      <c r="I5" s="258">
        <f t="shared" ref="I5:I10" si="2">SUM(G5-H5)</f>
        <v>-95.3100000000004</v>
      </c>
      <c r="J5" s="258"/>
      <c r="K5" s="258"/>
      <c r="L5" s="254"/>
      <c r="M5" s="251">
        <v>29.44</v>
      </c>
      <c r="N5" s="252">
        <f t="shared" ref="N5:N12" si="3">SUM(G5*M5)</f>
        <v>231153.7536</v>
      </c>
    </row>
    <row r="6" spans="1:15" ht="30.75" customHeight="1" x14ac:dyDescent="0.25">
      <c r="A6" s="259" t="s">
        <v>136</v>
      </c>
      <c r="B6" s="260" t="s">
        <v>171</v>
      </c>
      <c r="C6" s="255">
        <v>47</v>
      </c>
      <c r="D6" s="256">
        <f>SUM(E6/C6)</f>
        <v>50.623404255319151</v>
      </c>
      <c r="E6" s="257">
        <v>2379.3000000000002</v>
      </c>
      <c r="F6" s="256">
        <v>2</v>
      </c>
      <c r="G6" s="258">
        <f t="shared" si="1"/>
        <v>4758.6000000000004</v>
      </c>
      <c r="H6" s="258">
        <v>4768</v>
      </c>
      <c r="I6" s="258">
        <f t="shared" si="2"/>
        <v>-9.3999999999996362</v>
      </c>
      <c r="J6" s="258"/>
      <c r="K6" s="258"/>
      <c r="L6" s="261" t="s">
        <v>172</v>
      </c>
      <c r="M6" s="251">
        <v>29.44</v>
      </c>
      <c r="N6" s="252">
        <f t="shared" si="3"/>
        <v>140093.18400000001</v>
      </c>
    </row>
    <row r="7" spans="1:15" ht="31.5" customHeight="1" x14ac:dyDescent="0.25">
      <c r="A7" s="259" t="s">
        <v>38</v>
      </c>
      <c r="B7" s="260" t="s">
        <v>39</v>
      </c>
      <c r="C7" s="255">
        <v>47</v>
      </c>
      <c r="D7" s="256">
        <v>1</v>
      </c>
      <c r="E7" s="257">
        <f t="shared" si="0"/>
        <v>47</v>
      </c>
      <c r="F7" s="256">
        <v>5</v>
      </c>
      <c r="G7" s="258">
        <f t="shared" si="1"/>
        <v>235</v>
      </c>
      <c r="H7" s="258">
        <v>225</v>
      </c>
      <c r="I7" s="258">
        <f t="shared" si="2"/>
        <v>10</v>
      </c>
      <c r="J7" s="258"/>
      <c r="K7" s="258"/>
      <c r="L7" s="261" t="s">
        <v>168</v>
      </c>
      <c r="M7" s="251">
        <v>29.44</v>
      </c>
      <c r="N7" s="252">
        <f t="shared" si="3"/>
        <v>6918.4000000000005</v>
      </c>
    </row>
    <row r="8" spans="1:15" ht="34.5" customHeight="1" x14ac:dyDescent="0.25">
      <c r="A8" s="259">
        <v>248.11</v>
      </c>
      <c r="B8" s="260" t="s">
        <v>139</v>
      </c>
      <c r="C8" s="255">
        <v>47</v>
      </c>
      <c r="D8" s="256">
        <v>1</v>
      </c>
      <c r="E8" s="257">
        <f t="shared" si="0"/>
        <v>47</v>
      </c>
      <c r="F8" s="256">
        <v>10</v>
      </c>
      <c r="G8" s="258">
        <f t="shared" si="1"/>
        <v>470</v>
      </c>
      <c r="H8" s="258">
        <v>450</v>
      </c>
      <c r="I8" s="258">
        <f t="shared" si="2"/>
        <v>20</v>
      </c>
      <c r="J8" s="258"/>
      <c r="K8" s="258"/>
      <c r="L8" s="261" t="s">
        <v>168</v>
      </c>
      <c r="M8" s="251">
        <v>29.44</v>
      </c>
      <c r="N8" s="252">
        <f t="shared" si="3"/>
        <v>13836.800000000001</v>
      </c>
    </row>
    <row r="9" spans="1:15" ht="29.25" customHeight="1" x14ac:dyDescent="0.25">
      <c r="A9" s="259" t="s">
        <v>55</v>
      </c>
      <c r="B9" s="260" t="s">
        <v>56</v>
      </c>
      <c r="C9" s="262">
        <v>9</v>
      </c>
      <c r="D9" s="256">
        <v>1</v>
      </c>
      <c r="E9" s="257">
        <f t="shared" si="0"/>
        <v>9</v>
      </c>
      <c r="F9" s="256">
        <v>10</v>
      </c>
      <c r="G9" s="258">
        <f t="shared" si="1"/>
        <v>90</v>
      </c>
      <c r="H9" s="258">
        <v>90</v>
      </c>
      <c r="I9" s="258">
        <f t="shared" si="2"/>
        <v>0</v>
      </c>
      <c r="J9" s="258"/>
      <c r="K9" s="258"/>
      <c r="L9" s="261"/>
      <c r="M9" s="251">
        <v>29.44</v>
      </c>
      <c r="N9" s="252">
        <f t="shared" si="3"/>
        <v>2649.6</v>
      </c>
    </row>
    <row r="10" spans="1:15" ht="32.25" customHeight="1" x14ac:dyDescent="0.25">
      <c r="A10" s="259" t="s">
        <v>59</v>
      </c>
      <c r="B10" s="260" t="s">
        <v>60</v>
      </c>
      <c r="C10" s="262">
        <v>13</v>
      </c>
      <c r="D10" s="256">
        <v>1</v>
      </c>
      <c r="E10" s="257">
        <f t="shared" si="0"/>
        <v>13</v>
      </c>
      <c r="F10" s="256">
        <v>15</v>
      </c>
      <c r="G10" s="258">
        <f t="shared" si="1"/>
        <v>195</v>
      </c>
      <c r="H10" s="258">
        <v>195</v>
      </c>
      <c r="I10" s="258">
        <f t="shared" si="2"/>
        <v>0</v>
      </c>
      <c r="J10" s="258"/>
      <c r="K10" s="258"/>
      <c r="L10" s="261"/>
      <c r="M10" s="251">
        <v>29.44</v>
      </c>
      <c r="N10" s="252">
        <f t="shared" si="3"/>
        <v>5740.8</v>
      </c>
    </row>
    <row r="11" spans="1:15" ht="36" customHeight="1" x14ac:dyDescent="0.2">
      <c r="A11" s="259" t="s">
        <v>173</v>
      </c>
      <c r="B11" s="260" t="s">
        <v>174</v>
      </c>
      <c r="C11" s="262">
        <v>0</v>
      </c>
      <c r="D11" s="256">
        <v>0</v>
      </c>
      <c r="E11" s="257">
        <f t="shared" si="0"/>
        <v>0</v>
      </c>
      <c r="F11" s="256">
        <v>0</v>
      </c>
      <c r="G11" s="258">
        <f t="shared" si="1"/>
        <v>0</v>
      </c>
      <c r="H11" s="258">
        <v>135</v>
      </c>
      <c r="I11" s="258">
        <v>0</v>
      </c>
      <c r="J11" s="258">
        <f>SUM(-H11)</f>
        <v>-135</v>
      </c>
      <c r="K11" s="258"/>
      <c r="L11" s="261" t="s">
        <v>175</v>
      </c>
      <c r="M11" s="263">
        <v>29.44</v>
      </c>
      <c r="N11" s="264">
        <f t="shared" si="3"/>
        <v>0</v>
      </c>
    </row>
    <row r="12" spans="1:15" ht="63.75" customHeight="1" thickBot="1" x14ac:dyDescent="0.25">
      <c r="A12" s="265"/>
      <c r="B12" s="266" t="s">
        <v>176</v>
      </c>
      <c r="C12" s="267">
        <v>0</v>
      </c>
      <c r="D12" s="268">
        <v>0</v>
      </c>
      <c r="E12" s="269">
        <v>0</v>
      </c>
      <c r="F12" s="270">
        <v>0</v>
      </c>
      <c r="G12" s="270">
        <v>0</v>
      </c>
      <c r="H12" s="270">
        <v>46</v>
      </c>
      <c r="I12" s="270">
        <v>0</v>
      </c>
      <c r="J12" s="270">
        <f>SUM(-H12)</f>
        <v>-46</v>
      </c>
      <c r="K12" s="270"/>
      <c r="L12" s="271" t="s">
        <v>177</v>
      </c>
      <c r="M12" s="263">
        <v>29.44</v>
      </c>
      <c r="N12" s="264">
        <f t="shared" si="3"/>
        <v>0</v>
      </c>
    </row>
    <row r="13" spans="1:15" ht="17.25" thickTop="1" thickBot="1" x14ac:dyDescent="0.3">
      <c r="A13" s="475" t="s">
        <v>178</v>
      </c>
      <c r="B13" s="476"/>
      <c r="C13" s="272">
        <v>47</v>
      </c>
      <c r="D13" s="273">
        <f>SUM(D4:D12)</f>
        <v>222.68063829787232</v>
      </c>
      <c r="E13" s="273">
        <f>SUM(E4:E12)</f>
        <v>10393.99</v>
      </c>
      <c r="F13" s="273" t="s">
        <v>101</v>
      </c>
      <c r="G13" s="273">
        <f>SUM(G4:G12)</f>
        <v>15480.289999999999</v>
      </c>
      <c r="H13" s="273">
        <f>SUM(H4:H12)</f>
        <v>15656</v>
      </c>
      <c r="I13" s="273">
        <f>SUM(I4:I11)-I12</f>
        <v>5.2899999999999636</v>
      </c>
      <c r="J13" s="273"/>
      <c r="K13" s="273"/>
      <c r="L13" s="274"/>
      <c r="M13" s="275" t="s">
        <v>179</v>
      </c>
      <c r="N13" s="276">
        <f>SUM(N4:N12)-0.01</f>
        <v>455739.72759999998</v>
      </c>
    </row>
    <row r="14" spans="1:15" ht="13.5" thickBot="1" x14ac:dyDescent="0.25">
      <c r="A14" s="477" t="s">
        <v>180</v>
      </c>
      <c r="B14" s="478"/>
      <c r="C14" s="478"/>
      <c r="D14" s="478"/>
      <c r="E14" s="478"/>
      <c r="F14" s="478"/>
      <c r="G14" s="478"/>
      <c r="H14" s="478"/>
      <c r="I14" s="478"/>
      <c r="J14" s="478"/>
      <c r="K14" s="478"/>
      <c r="L14" s="478"/>
      <c r="M14" s="478"/>
      <c r="N14" s="479"/>
    </row>
    <row r="15" spans="1:15" ht="87" customHeight="1" x14ac:dyDescent="0.2">
      <c r="A15" s="246" t="s">
        <v>181</v>
      </c>
      <c r="B15" s="246" t="s">
        <v>182</v>
      </c>
      <c r="C15" s="248">
        <v>7851.69</v>
      </c>
      <c r="D15" s="247">
        <v>1</v>
      </c>
      <c r="E15" s="248">
        <f>SUM(C15*D15)</f>
        <v>7851.69</v>
      </c>
      <c r="F15" s="247">
        <v>1</v>
      </c>
      <c r="G15" s="249">
        <f>SUM(E15*F15)</f>
        <v>7851.69</v>
      </c>
      <c r="H15" s="249">
        <v>7947</v>
      </c>
      <c r="I15" s="249">
        <f>SUM(G15-H15)</f>
        <v>-95.3100000000004</v>
      </c>
      <c r="J15" s="249"/>
      <c r="K15" s="249"/>
      <c r="L15" s="277"/>
      <c r="M15" s="278">
        <v>14.03</v>
      </c>
      <c r="N15" s="279">
        <f>SUM(G15*M15)</f>
        <v>110159.2107</v>
      </c>
      <c r="O15" s="280"/>
    </row>
    <row r="16" spans="1:15" ht="13.5" thickBot="1" x14ac:dyDescent="0.25">
      <c r="A16" s="281" t="s">
        <v>178</v>
      </c>
      <c r="B16" s="282"/>
      <c r="C16" s="283">
        <f>SUM(C15)</f>
        <v>7851.69</v>
      </c>
      <c r="D16" s="284" t="s">
        <v>101</v>
      </c>
      <c r="E16" s="283">
        <f>SUM(E15)</f>
        <v>7851.69</v>
      </c>
      <c r="F16" s="284" t="s">
        <v>101</v>
      </c>
      <c r="G16" s="285">
        <f>SUM(G15)</f>
        <v>7851.69</v>
      </c>
      <c r="H16" s="285"/>
      <c r="I16" s="286"/>
      <c r="J16" s="286"/>
      <c r="K16" s="286"/>
      <c r="L16" s="287"/>
      <c r="M16" s="288" t="s">
        <v>179</v>
      </c>
      <c r="N16" s="289">
        <f>SUM(N15)</f>
        <v>110159.2107</v>
      </c>
    </row>
    <row r="17" spans="1:14" ht="14.25" thickTop="1" thickBot="1" x14ac:dyDescent="0.25">
      <c r="A17" s="290" t="s">
        <v>183</v>
      </c>
      <c r="B17" s="291"/>
      <c r="C17" s="292">
        <f>SUM(C16)</f>
        <v>7851.69</v>
      </c>
      <c r="D17" s="293"/>
      <c r="E17" s="292">
        <f>SUM(E13+E16)</f>
        <v>18245.68</v>
      </c>
      <c r="F17" s="293"/>
      <c r="G17" s="294">
        <f>SUM(G13+G16)</f>
        <v>23331.98</v>
      </c>
      <c r="H17" s="294"/>
      <c r="I17" s="295"/>
      <c r="J17" s="295"/>
      <c r="K17" s="295"/>
      <c r="L17" s="296"/>
      <c r="M17" s="275" t="s">
        <v>179</v>
      </c>
      <c r="N17" s="276">
        <f>SUM(N13+N16)</f>
        <v>565898.93830000004</v>
      </c>
    </row>
    <row r="18" spans="1:14" x14ac:dyDescent="0.2">
      <c r="A18" s="480" t="s">
        <v>166</v>
      </c>
      <c r="B18" s="481"/>
      <c r="C18" s="481"/>
      <c r="D18" s="481"/>
      <c r="E18" s="481"/>
      <c r="F18" s="481"/>
      <c r="G18" s="481"/>
      <c r="H18" s="481"/>
      <c r="I18" s="481"/>
      <c r="J18" s="481"/>
      <c r="K18" s="481"/>
      <c r="L18" s="481"/>
      <c r="M18" s="481"/>
      <c r="N18" s="482"/>
    </row>
    <row r="19" spans="1:14" x14ac:dyDescent="0.2">
      <c r="A19" s="483" t="s">
        <v>184</v>
      </c>
      <c r="B19" s="484"/>
      <c r="C19" s="484"/>
      <c r="D19" s="484"/>
      <c r="E19" s="484"/>
      <c r="F19" s="484"/>
      <c r="G19" s="484"/>
      <c r="H19" s="484"/>
      <c r="I19" s="484"/>
      <c r="J19" s="484"/>
      <c r="K19" s="484"/>
      <c r="L19" s="484"/>
      <c r="M19" s="484"/>
      <c r="N19" s="485"/>
    </row>
    <row r="20" spans="1:14" ht="32.25" customHeight="1" x14ac:dyDescent="0.25">
      <c r="A20" s="259">
        <v>248.9</v>
      </c>
      <c r="B20" s="254" t="s">
        <v>185</v>
      </c>
      <c r="C20" s="297">
        <v>47</v>
      </c>
      <c r="D20" s="298">
        <v>1</v>
      </c>
      <c r="E20" s="257">
        <f>SUM(C20*D20)</f>
        <v>47</v>
      </c>
      <c r="F20" s="299">
        <v>1</v>
      </c>
      <c r="G20" s="258">
        <f>SUM(E20*F20)</f>
        <v>47</v>
      </c>
      <c r="H20" s="258">
        <v>45</v>
      </c>
      <c r="I20" s="258">
        <f>SUM(G20-H20)</f>
        <v>2</v>
      </c>
      <c r="J20" s="258"/>
      <c r="K20" s="258"/>
      <c r="L20" s="261" t="s">
        <v>168</v>
      </c>
      <c r="M20" s="251">
        <v>29.44</v>
      </c>
      <c r="N20" s="252">
        <f>SUM(G20*M20)</f>
        <v>1383.68</v>
      </c>
    </row>
    <row r="21" spans="1:14" ht="60.75" customHeight="1" x14ac:dyDescent="0.25">
      <c r="A21" s="259" t="s">
        <v>146</v>
      </c>
      <c r="B21" s="254" t="s">
        <v>186</v>
      </c>
      <c r="C21" s="297">
        <v>47</v>
      </c>
      <c r="D21" s="258">
        <v>1</v>
      </c>
      <c r="E21" s="258">
        <f>SUM(C21*D21)</f>
        <v>47</v>
      </c>
      <c r="F21" s="258">
        <v>2</v>
      </c>
      <c r="G21" s="258">
        <f>SUM(E21*F21)</f>
        <v>94</v>
      </c>
      <c r="H21" s="258">
        <v>90</v>
      </c>
      <c r="I21" s="258">
        <f>SUM(G21-H21)</f>
        <v>4</v>
      </c>
      <c r="J21" s="258"/>
      <c r="K21" s="258"/>
      <c r="L21" s="261" t="s">
        <v>168</v>
      </c>
      <c r="M21" s="251">
        <v>29.44</v>
      </c>
      <c r="N21" s="252">
        <f>SUM(G21*M21)</f>
        <v>2767.36</v>
      </c>
    </row>
    <row r="22" spans="1:14" ht="58.5" customHeight="1" x14ac:dyDescent="0.25">
      <c r="A22" s="259" t="s">
        <v>136</v>
      </c>
      <c r="B22" s="246" t="s">
        <v>187</v>
      </c>
      <c r="C22" s="297">
        <v>47</v>
      </c>
      <c r="D22" s="258">
        <v>1</v>
      </c>
      <c r="E22" s="258">
        <f>SUM(C22*D22)</f>
        <v>47</v>
      </c>
      <c r="F22" s="258">
        <v>2</v>
      </c>
      <c r="G22" s="258">
        <f>SUM(E22*F22)</f>
        <v>94</v>
      </c>
      <c r="H22" s="258">
        <v>90</v>
      </c>
      <c r="I22" s="258">
        <f>SUM(G22-H22)</f>
        <v>4</v>
      </c>
      <c r="J22" s="258"/>
      <c r="K22" s="258"/>
      <c r="L22" s="261" t="s">
        <v>168</v>
      </c>
      <c r="M22" s="251">
        <v>29.44</v>
      </c>
      <c r="N22" s="252">
        <f>SUM(G22*M22)</f>
        <v>2767.36</v>
      </c>
    </row>
    <row r="23" spans="1:14" ht="29.25" customHeight="1" thickBot="1" x14ac:dyDescent="0.3">
      <c r="A23" s="265" t="s">
        <v>188</v>
      </c>
      <c r="B23" s="266" t="s">
        <v>91</v>
      </c>
      <c r="C23" s="267">
        <v>47</v>
      </c>
      <c r="D23" s="270">
        <v>1</v>
      </c>
      <c r="E23" s="270">
        <f>SUM(C23*D23)</f>
        <v>47</v>
      </c>
      <c r="F23" s="270">
        <v>2</v>
      </c>
      <c r="G23" s="270">
        <f>SUM(E23*F23)</f>
        <v>94</v>
      </c>
      <c r="H23" s="270">
        <v>90</v>
      </c>
      <c r="I23" s="270">
        <f>SUM(G23-H23)</f>
        <v>4</v>
      </c>
      <c r="J23" s="300"/>
      <c r="K23" s="300"/>
      <c r="L23" s="261" t="s">
        <v>168</v>
      </c>
      <c r="M23" s="301">
        <v>29.44</v>
      </c>
      <c r="N23" s="302">
        <f>SUM(G23*M23)</f>
        <v>2767.36</v>
      </c>
    </row>
    <row r="24" spans="1:14" ht="45" customHeight="1" thickTop="1" thickBot="1" x14ac:dyDescent="0.25">
      <c r="A24" s="465" t="s">
        <v>189</v>
      </c>
      <c r="B24" s="465"/>
      <c r="C24" s="303">
        <v>47</v>
      </c>
      <c r="D24" s="304">
        <f>SUM(E24/C24)</f>
        <v>4</v>
      </c>
      <c r="E24" s="304">
        <f>SUM(E20:E23)</f>
        <v>188</v>
      </c>
      <c r="F24" s="304">
        <f>SUM(G24/E24)</f>
        <v>1.75</v>
      </c>
      <c r="G24" s="304">
        <f>SUM(G20:G23)</f>
        <v>329</v>
      </c>
      <c r="H24" s="304">
        <v>315</v>
      </c>
      <c r="I24" s="304">
        <f>SUM(G24-H24)</f>
        <v>14</v>
      </c>
      <c r="J24" s="304"/>
      <c r="K24" s="304"/>
      <c r="L24" s="271" t="s">
        <v>168</v>
      </c>
      <c r="M24" s="305" t="s">
        <v>179</v>
      </c>
      <c r="N24" s="306">
        <f>SUM(N20:N23)</f>
        <v>9685.76</v>
      </c>
    </row>
    <row r="25" spans="1:14" ht="16.5" thickTop="1" x14ac:dyDescent="0.25">
      <c r="A25" s="466" t="s">
        <v>190</v>
      </c>
      <c r="B25" s="467"/>
      <c r="C25" s="307">
        <f>SUM(C13+C17)</f>
        <v>7898.69</v>
      </c>
      <c r="D25" s="308"/>
      <c r="E25" s="309">
        <f>SUM(E17+E24)</f>
        <v>18433.68</v>
      </c>
      <c r="F25" s="308"/>
      <c r="G25" s="309">
        <f>SUM(G17+G24)</f>
        <v>23660.98</v>
      </c>
      <c r="H25" s="310"/>
      <c r="I25" s="311"/>
      <c r="J25" s="311"/>
      <c r="K25" s="311"/>
      <c r="L25" s="312"/>
      <c r="M25" s="313"/>
      <c r="N25" s="314">
        <f>SUM(N17+N24)</f>
        <v>575584.69830000005</v>
      </c>
    </row>
    <row r="27" spans="1:14" ht="69.75" customHeight="1" x14ac:dyDescent="0.2">
      <c r="A27" s="468"/>
      <c r="B27" s="468"/>
      <c r="C27" s="468"/>
      <c r="D27" s="468"/>
    </row>
  </sheetData>
  <mergeCells count="9">
    <mergeCell ref="A24:B24"/>
    <mergeCell ref="A25:B25"/>
    <mergeCell ref="A27:D27"/>
    <mergeCell ref="A2:N2"/>
    <mergeCell ref="A3:N3"/>
    <mergeCell ref="A13:B13"/>
    <mergeCell ref="A14:N14"/>
    <mergeCell ref="A18:N18"/>
    <mergeCell ref="A19:N19"/>
  </mergeCells>
  <pageMargins left="0.75" right="0.75"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e41e6e7a-d9a4-4f8c-8eb9-556f918ff3f4" xsi:nil="true"/>
    <APComment xmlns="e41e6e7a-d9a4-4f8c-8eb9-556f918ff3f4" xsi:nil="true"/>
    <Cleared xmlns="e41e6e7a-d9a4-4f8c-8eb9-556f918ff3f4">true</Cleared>
    <EmailDraft xmlns="e41e6e7a-d9a4-4f8c-8eb9-556f918ff3f4">true</EmailDraft>
    <lcf76f155ced4ddcb4097134ff3c332f xmlns="e41e6e7a-d9a4-4f8c-8eb9-556f918ff3f4">
      <Terms xmlns="http://schemas.microsoft.com/office/infopath/2007/PartnerControls"/>
    </lcf76f155ced4ddcb4097134ff3c332f>
    <TaxCatchAll xmlns="73fb875a-8af9-4255-b008-0995492d31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B41968DED4DE44B6F3F891104B3069" ma:contentTypeVersion="19" ma:contentTypeDescription="Create a new document." ma:contentTypeScope="" ma:versionID="23c7772c2f8d6893d9fb6aeac2c58aac">
  <xsd:schema xmlns:xsd="http://www.w3.org/2001/XMLSchema" xmlns:xs="http://www.w3.org/2001/XMLSchema" xmlns:p="http://schemas.microsoft.com/office/2006/metadata/properties" xmlns:ns2="e41e6e7a-d9a4-4f8c-8eb9-556f918ff3f4" xmlns:ns3="3323e635-b63f-4e4b-b8b4-98b05fe663e6" xmlns:ns4="73fb875a-8af9-4255-b008-0995492d31cd" targetNamespace="http://schemas.microsoft.com/office/2006/metadata/properties" ma:root="true" ma:fieldsID="12a9aead7e93c683ff46d7693d08f35c" ns2:_="" ns3:_="" ns4:_="">
    <xsd:import namespace="e41e6e7a-d9a4-4f8c-8eb9-556f918ff3f4"/>
    <xsd:import namespace="3323e635-b63f-4e4b-b8b4-98b05fe663e6"/>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lcf76f155ced4ddcb4097134ff3c332f" minOccurs="0"/>
                <xsd:element ref="ns4:TaxCatchAll" minOccurs="0"/>
                <xsd:element ref="ns2:MediaLengthInSeconds" minOccurs="0"/>
                <xsd:element ref="ns2:Cleared" minOccurs="0"/>
                <xsd:element ref="ns2:Comments" minOccurs="0"/>
                <xsd:element ref="ns2:APComment" minOccurs="0"/>
                <xsd:element ref="ns2:EmailDraft"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e6e7a-d9a4-4f8c-8eb9-556f918ff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Cleared" ma:index="21" nillable="true" ma:displayName="Cleared" ma:default="1" ma:description="Item is cleared to be send" ma:format="Dropdown" ma:internalName="Cleared">
      <xsd:simpleType>
        <xsd:restriction base="dms:Boolean"/>
      </xsd:simpleType>
    </xsd:element>
    <xsd:element name="Comments" ma:index="22" nillable="true" ma:displayName="Staff Comments" ma:format="Dropdown" ma:internalName="Comments">
      <xsd:simpleType>
        <xsd:restriction base="dms:Note">
          <xsd:maxLength value="255"/>
        </xsd:restriction>
      </xsd:simpleType>
    </xsd:element>
    <xsd:element name="APComment" ma:index="23" nillable="true" ma:displayName="AP Comment" ma:format="Dropdown" ma:internalName="APComment">
      <xsd:simpleType>
        <xsd:restriction base="dms:Note">
          <xsd:maxLength value="255"/>
        </xsd:restriction>
      </xsd:simpleType>
    </xsd:element>
    <xsd:element name="EmailDraft" ma:index="24" nillable="true" ma:displayName="Email Draft" ma:default="1" ma:description="Draft an email to send" ma:format="Dropdown" ma:internalName="EmailDraft">
      <xsd:simpleType>
        <xsd:restriction base="dms:Boolea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23e635-b63f-4e4b-b8b4-98b05fe663e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39d2472-4343-4717-b837-7d293b89b168}" ma:internalName="TaxCatchAll" ma:showField="CatchAllData" ma:web="3323e635-b63f-4e4b-b8b4-98b05fe66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A83C6E-6C99-4CE3-A114-8B23A0E431CA}">
  <ds:schemaRefs>
    <ds:schemaRef ds:uri="http://schemas.microsoft.com/office/2006/metadata/properties"/>
    <ds:schemaRef ds:uri="http://schemas.microsoft.com/office/infopath/2007/PartnerControls"/>
    <ds:schemaRef ds:uri="e41e6e7a-d9a4-4f8c-8eb9-556f918ff3f4"/>
    <ds:schemaRef ds:uri="73fb875a-8af9-4255-b008-0995492d31cd"/>
  </ds:schemaRefs>
</ds:datastoreItem>
</file>

<file path=customXml/itemProps2.xml><?xml version="1.0" encoding="utf-8"?>
<ds:datastoreItem xmlns:ds="http://schemas.openxmlformats.org/officeDocument/2006/customXml" ds:itemID="{94A5E0B6-B215-4A06-B249-181F12929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e6e7a-d9a4-4f8c-8eb9-556f918ff3f4"/>
    <ds:schemaRef ds:uri="3323e635-b63f-4e4b-b8b4-98b05fe663e6"/>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CFD5BC-758B-410A-AC47-EC2AC4899A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2024</vt:lpstr>
      <vt:lpstr>2021</vt:lpstr>
      <vt:lpstr>2018</vt:lpstr>
      <vt:lpstr>2014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lywilliams</dc:creator>
  <cp:keywords/>
  <dc:description/>
  <cp:lastModifiedBy>Clark, Lauren - FNS</cp:lastModifiedBy>
  <cp:revision/>
  <dcterms:created xsi:type="dcterms:W3CDTF">2012-09-04T15:22:05Z</dcterms:created>
  <dcterms:modified xsi:type="dcterms:W3CDTF">2024-04-11T21:35:55Z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0x010100FBB41968DED4DE44B6F3F891104B3069</vt:lpwstr>
  </property>
  <property fmtid="{D5CDD505-2E9C-101B-9397-08002B2CF9AE}" pid="3" name="MediaServiceImageTags">
    <vt:lpwstr/>
  </property>
</Properties>
</file>