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146F5C86-6B92-4E32-BDBB-774667787C93}" xr6:coauthVersionLast="47" xr6:coauthVersionMax="47" xr10:uidLastSave="{00000000-0000-0000-0000-000000000000}"/>
  <bookViews>
    <workbookView xWindow="-24615" yWindow="1290" windowWidth="25305" windowHeight="14430" activeTab="2" xr2:uid="{D855CF00-F869-48B3-9963-4AD001D31E8A}"/>
  </bookViews>
  <sheets>
    <sheet name="Summary" sheetId="6" r:id="rId1"/>
    <sheet name="Table 1" sheetId="7" r:id="rId2"/>
    <sheet name="Table 2" sheetId="8"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1" i="7" l="1"/>
  <c r="I11" i="3"/>
  <c r="D11" i="3"/>
  <c r="F22" i="8"/>
  <c r="D10" i="3"/>
  <c r="I22" i="8"/>
  <c r="F28" i="7"/>
  <c r="F51" i="7" s="1"/>
  <c r="I51" i="7"/>
  <c r="I8" i="7"/>
  <c r="E12" i="5"/>
  <c r="E7" i="5"/>
  <c r="G10" i="3"/>
  <c r="I28" i="7"/>
  <c r="I50" i="7"/>
  <c r="F50" i="7"/>
  <c r="I48" i="7" l="1"/>
  <c r="I47" i="7"/>
  <c r="I45" i="7"/>
  <c r="I44" i="7"/>
  <c r="I36" i="7"/>
  <c r="I37" i="7"/>
  <c r="I38" i="7"/>
  <c r="I39" i="7"/>
  <c r="I40" i="7"/>
  <c r="I35" i="7"/>
  <c r="I27" i="7"/>
  <c r="I16" i="7"/>
  <c r="I17" i="7"/>
  <c r="I18" i="7"/>
  <c r="I19" i="7"/>
  <c r="I20" i="7"/>
  <c r="I21" i="7"/>
  <c r="I22" i="7"/>
  <c r="I23" i="7"/>
  <c r="I24" i="7"/>
  <c r="I25" i="7"/>
  <c r="I15" i="7"/>
  <c r="I11" i="7"/>
  <c r="I10" i="7"/>
  <c r="I21" i="8"/>
  <c r="I10" i="8"/>
  <c r="I11" i="8"/>
  <c r="I12" i="8"/>
  <c r="I13" i="8"/>
  <c r="I14" i="8"/>
  <c r="I15" i="8"/>
  <c r="I16" i="8"/>
  <c r="I17" i="8"/>
  <c r="I18" i="8"/>
  <c r="I19" i="8"/>
  <c r="I20" i="8"/>
  <c r="I9" i="8"/>
  <c r="I7" i="8"/>
  <c r="I6" i="8"/>
  <c r="G5" i="3" l="1"/>
  <c r="B7" i="6"/>
  <c r="B4" i="6"/>
  <c r="B3" i="6"/>
  <c r="E5" i="5"/>
  <c r="E6" i="5"/>
  <c r="E8" i="5"/>
  <c r="E9" i="5"/>
  <c r="E10" i="5"/>
  <c r="E11" i="5"/>
  <c r="E4" i="5"/>
  <c r="D21" i="8"/>
  <c r="F21" i="8" s="1"/>
  <c r="D20" i="8"/>
  <c r="F20" i="8" s="1"/>
  <c r="F19" i="8"/>
  <c r="D19" i="8"/>
  <c r="E18" i="8"/>
  <c r="D18" i="8"/>
  <c r="F18" i="8" s="1"/>
  <c r="E17" i="8"/>
  <c r="D17" i="8"/>
  <c r="F17" i="8" s="1"/>
  <c r="E16" i="8"/>
  <c r="F16" i="8" s="1"/>
  <c r="D16" i="8"/>
  <c r="E15" i="8"/>
  <c r="F15" i="8" s="1"/>
  <c r="D15" i="8"/>
  <c r="E14" i="8"/>
  <c r="D14" i="8"/>
  <c r="F14" i="8" s="1"/>
  <c r="E13" i="8"/>
  <c r="D13" i="8"/>
  <c r="F13" i="8" s="1"/>
  <c r="E12" i="8"/>
  <c r="F12" i="8" s="1"/>
  <c r="D12" i="8"/>
  <c r="D11" i="8"/>
  <c r="F11" i="8" s="1"/>
  <c r="F10" i="8"/>
  <c r="D10" i="8"/>
  <c r="D9" i="8"/>
  <c r="F9" i="8" s="1"/>
  <c r="E7" i="8"/>
  <c r="D7" i="8"/>
  <c r="F7" i="8" s="1"/>
  <c r="E6" i="8"/>
  <c r="D6" i="8"/>
  <c r="F6" i="8" s="1"/>
  <c r="F48" i="7"/>
  <c r="G48" i="7" s="1"/>
  <c r="D48" i="7"/>
  <c r="D47" i="7"/>
  <c r="F47" i="7" s="1"/>
  <c r="H45" i="7"/>
  <c r="F45" i="7"/>
  <c r="G45" i="7" s="1"/>
  <c r="D45" i="7"/>
  <c r="D44" i="7"/>
  <c r="F44" i="7" s="1"/>
  <c r="F40" i="7"/>
  <c r="D40" i="7"/>
  <c r="D39" i="7"/>
  <c r="F39" i="7" s="1"/>
  <c r="D38" i="7"/>
  <c r="F38" i="7" s="1"/>
  <c r="D37" i="7"/>
  <c r="F37" i="7" s="1"/>
  <c r="F36" i="7"/>
  <c r="G36" i="7" s="1"/>
  <c r="D36" i="7"/>
  <c r="E35" i="7"/>
  <c r="D35" i="7"/>
  <c r="F35" i="7" s="1"/>
  <c r="D27" i="7"/>
  <c r="F27" i="7" s="1"/>
  <c r="D25" i="7"/>
  <c r="F25" i="7" s="1"/>
  <c r="E24" i="7"/>
  <c r="D24" i="7"/>
  <c r="F24" i="7" s="1"/>
  <c r="E23" i="7"/>
  <c r="D23" i="7"/>
  <c r="F23" i="7" s="1"/>
  <c r="E22" i="7"/>
  <c r="F22" i="7" s="1"/>
  <c r="D22" i="7"/>
  <c r="F21" i="7"/>
  <c r="G21" i="7" s="1"/>
  <c r="D21" i="7"/>
  <c r="D20" i="7"/>
  <c r="F20" i="7" s="1"/>
  <c r="E19" i="7"/>
  <c r="D19" i="7"/>
  <c r="F19" i="7" s="1"/>
  <c r="E18" i="7"/>
  <c r="D18" i="7"/>
  <c r="F18" i="7" s="1"/>
  <c r="H17" i="7"/>
  <c r="F17" i="7"/>
  <c r="G17" i="7" s="1"/>
  <c r="D17" i="7"/>
  <c r="F16" i="7"/>
  <c r="D16" i="7"/>
  <c r="D15" i="7"/>
  <c r="F15" i="7" s="1"/>
  <c r="E11" i="7"/>
  <c r="D11" i="7"/>
  <c r="F11" i="7" s="1"/>
  <c r="E10" i="7"/>
  <c r="F10" i="7" s="1"/>
  <c r="D10" i="7"/>
  <c r="E8" i="7"/>
  <c r="F8" i="7" s="1"/>
  <c r="D8" i="7"/>
  <c r="C8" i="4"/>
  <c r="B8" i="4"/>
  <c r="F7" i="4"/>
  <c r="F6" i="4"/>
  <c r="F5" i="4"/>
  <c r="D8" i="3"/>
  <c r="F8" i="4" l="1"/>
  <c r="H7" i="8"/>
  <c r="G7" i="8"/>
  <c r="G8" i="7"/>
  <c r="H8" i="7"/>
  <c r="H19" i="7"/>
  <c r="G19" i="7"/>
  <c r="H37" i="7"/>
  <c r="G37" i="7"/>
  <c r="G14" i="8"/>
  <c r="H14" i="8"/>
  <c r="H10" i="7"/>
  <c r="G10" i="7"/>
  <c r="H20" i="7"/>
  <c r="G20" i="7"/>
  <c r="H11" i="8"/>
  <c r="G11" i="8"/>
  <c r="H15" i="8"/>
  <c r="G15" i="8"/>
  <c r="H13" i="8"/>
  <c r="G13" i="8"/>
  <c r="H25" i="7"/>
  <c r="G25" i="7"/>
  <c r="G9" i="8"/>
  <c r="H9" i="8"/>
  <c r="H18" i="8"/>
  <c r="G18" i="8"/>
  <c r="H22" i="7"/>
  <c r="G22" i="7"/>
  <c r="H38" i="7"/>
  <c r="G38" i="7"/>
  <c r="G47" i="7"/>
  <c r="H47" i="7"/>
  <c r="H11" i="7"/>
  <c r="G11" i="7"/>
  <c r="G23" i="7"/>
  <c r="H23" i="7"/>
  <c r="G39" i="7"/>
  <c r="H39" i="7"/>
  <c r="H15" i="7"/>
  <c r="G15" i="7"/>
  <c r="G35" i="7"/>
  <c r="H35" i="7"/>
  <c r="H6" i="8"/>
  <c r="G6" i="8"/>
  <c r="H20" i="8"/>
  <c r="G20" i="8"/>
  <c r="H17" i="8"/>
  <c r="G17" i="8"/>
  <c r="H27" i="7"/>
  <c r="G27" i="7"/>
  <c r="H18" i="7"/>
  <c r="G18" i="7"/>
  <c r="H24" i="7"/>
  <c r="G24" i="7"/>
  <c r="H44" i="7"/>
  <c r="G44" i="7"/>
  <c r="H12" i="8"/>
  <c r="G12" i="8"/>
  <c r="H16" i="8"/>
  <c r="G16" i="8"/>
  <c r="H21" i="8"/>
  <c r="G21" i="8"/>
  <c r="H36" i="7"/>
  <c r="G16" i="7"/>
  <c r="G19" i="8"/>
  <c r="H16" i="7"/>
  <c r="H48" i="7"/>
  <c r="H19" i="8"/>
  <c r="G40" i="7"/>
  <c r="G10" i="8"/>
  <c r="H21" i="7"/>
  <c r="H40" i="7"/>
  <c r="H10" i="8"/>
  <c r="B2" i="6" l="1"/>
  <c r="D9" i="3" l="1"/>
  <c r="D7" i="3" l="1"/>
  <c r="B6" i="6" l="1"/>
  <c r="I52" i="7"/>
  <c r="I53" i="7" s="1"/>
  <c r="B5" i="6" l="1"/>
</calcChain>
</file>

<file path=xl/sharedStrings.xml><?xml version="1.0" encoding="utf-8"?>
<sst xmlns="http://schemas.openxmlformats.org/spreadsheetml/2006/main" count="239" uniqueCount="191">
  <si>
    <t>ICR Summary Information</t>
  </si>
  <si>
    <t>Hours per Response</t>
  </si>
  <si>
    <t>Number of Respondents</t>
  </si>
  <si>
    <t>Total Estimated Burden Hours</t>
  </si>
  <si>
    <t>Total Estimated Costs</t>
  </si>
  <si>
    <t>Annualized Capital O&amp;M</t>
  </si>
  <si>
    <t>Total Annual Responses</t>
  </si>
  <si>
    <t>Subtotal for Reporting Requirements</t>
  </si>
  <si>
    <t>Assumptions:</t>
  </si>
  <si>
    <t>Burden item</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</si>
  <si>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</si>
  <si>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</si>
  <si>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</si>
  <si>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</si>
  <si>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</si>
  <si>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</si>
  <si>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</si>
  <si>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</si>
  <si>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</si>
  <si>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</si>
  <si>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</si>
  <si>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</si>
  <si>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</si>
  <si>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</si>
  <si>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</si>
  <si>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</si>
  <si>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</si>
  <si>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</si>
  <si>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</si>
  <si>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Notification of compliance status</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</si>
  <si>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</si>
  <si>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</si>
  <si>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</si>
  <si>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</si>
  <si>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</si>
  <si>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</si>
  <si>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</si>
  <si>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</si>
  <si>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</si>
  <si>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</si>
  <si>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</si>
  <si>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</si>
  <si>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t xml:space="preserve">(D) </t>
  </si>
  <si>
    <t xml:space="preserve">(E) </t>
  </si>
  <si>
    <t xml:space="preserve">(F) </t>
  </si>
  <si>
    <t xml:space="preserve">(G) </t>
  </si>
  <si>
    <t>(H)</t>
  </si>
  <si>
    <t>Person 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</si>
  <si>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</si>
  <si>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</si>
  <si>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</si>
  <si>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</si>
  <si>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 hours per year 
(F=Ex0.05)</t>
  </si>
  <si>
    <t>Clerical person hours per year 
(G=Ex0.1)</t>
  </si>
  <si>
    <r>
      <t>Total Cost per year</t>
    </r>
    <r>
      <rPr>
        <b/>
        <vertAlign val="superscript"/>
        <sz val="10"/>
        <color rgb="FF000000"/>
        <rFont val="Times New Roman"/>
        <family val="1"/>
      </rPr>
      <t xml:space="preserve"> 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</si>
  <si>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</si>
  <si>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</si>
  <si>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</si>
  <si>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</si>
  <si>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</si>
  <si>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</si>
  <si>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t>Prepare for periodic performance test</t>
  </si>
  <si>
    <t>Attend periodic performance test</t>
  </si>
  <si>
    <t>C.  Create information</t>
  </si>
  <si>
    <t>See 3B</t>
  </si>
  <si>
    <t>D.  Gather existing information</t>
  </si>
  <si>
    <t>E.  Write report</t>
  </si>
  <si>
    <r>
      <t xml:space="preserve">Notification of construction/reconstruction </t>
    </r>
    <r>
      <rPr>
        <vertAlign val="superscript"/>
        <sz val="10"/>
        <color rgb="FF000000"/>
        <rFont val="Times New Roman"/>
        <family val="1"/>
      </rPr>
      <t>e,f</t>
    </r>
  </si>
  <si>
    <r>
      <t xml:space="preserve">Notification of actual startup </t>
    </r>
    <r>
      <rPr>
        <vertAlign val="superscript"/>
        <sz val="10"/>
        <color rgb="FF000000"/>
        <rFont val="Times New Roman"/>
        <family val="1"/>
      </rPr>
      <t>e,f</t>
    </r>
  </si>
  <si>
    <r>
      <t xml:space="preserve">Notification of applicability </t>
    </r>
    <r>
      <rPr>
        <vertAlign val="superscript"/>
        <sz val="10"/>
        <color rgb="FF000000"/>
        <rFont val="Times New Roman"/>
        <family val="1"/>
      </rPr>
      <t>e,f</t>
    </r>
  </si>
  <si>
    <r>
      <t xml:space="preserve">Notification of performance test </t>
    </r>
    <r>
      <rPr>
        <vertAlign val="superscript"/>
        <sz val="10"/>
        <color rgb="FF000000"/>
        <rFont val="Times New Roman"/>
        <family val="1"/>
      </rPr>
      <t>f,g</t>
    </r>
  </si>
  <si>
    <r>
      <t xml:space="preserve">Notification of CMS performance evaluation </t>
    </r>
    <r>
      <rPr>
        <vertAlign val="superscript"/>
        <sz val="10"/>
        <color rgb="FF000000"/>
        <rFont val="Times New Roman"/>
        <family val="1"/>
      </rPr>
      <t>f,g</t>
    </r>
  </si>
  <si>
    <r>
      <t xml:space="preserve">Notifications for equipment leaks </t>
    </r>
    <r>
      <rPr>
        <vertAlign val="superscript"/>
        <sz val="10"/>
        <color rgb="FF000000"/>
        <rFont val="Times New Roman"/>
        <family val="1"/>
      </rPr>
      <t>e,f</t>
    </r>
  </si>
  <si>
    <r>
      <t xml:space="preserve">Notifications for wastewater </t>
    </r>
    <r>
      <rPr>
        <vertAlign val="superscript"/>
        <sz val="10"/>
        <color rgb="FF000000"/>
        <rFont val="Times New Roman"/>
        <family val="1"/>
      </rPr>
      <t>e,f</t>
    </r>
  </si>
  <si>
    <r>
      <t xml:space="preserve">Notification of compliance status </t>
    </r>
    <r>
      <rPr>
        <vertAlign val="superscript"/>
        <sz val="10"/>
        <color rgb="FF000000"/>
        <rFont val="Times New Roman"/>
        <family val="1"/>
      </rPr>
      <t>g,h</t>
    </r>
  </si>
  <si>
    <r>
      <t xml:space="preserve">Semiannual report - no deviations </t>
    </r>
    <r>
      <rPr>
        <vertAlign val="superscript"/>
        <sz val="10"/>
        <color rgb="FF000000"/>
        <rFont val="Times New Roman"/>
        <family val="1"/>
      </rPr>
      <t>i</t>
    </r>
  </si>
  <si>
    <r>
      <t xml:space="preserve">Semiannual report - deviations </t>
    </r>
    <r>
      <rPr>
        <vertAlign val="superscript"/>
        <sz val="10"/>
        <color rgb="FF000000"/>
        <rFont val="Times New Roman"/>
        <family val="1"/>
      </rPr>
      <t>j</t>
    </r>
  </si>
  <si>
    <r>
      <t xml:space="preserve">Semiannual report - equipment leaks </t>
    </r>
    <r>
      <rPr>
        <vertAlign val="superscript"/>
        <sz val="10"/>
        <color rgb="FF000000"/>
        <rFont val="Times New Roman"/>
        <family val="1"/>
      </rPr>
      <t>k</t>
    </r>
  </si>
  <si>
    <t>Semiannual report - wastewater</t>
  </si>
  <si>
    <t>See 4E</t>
  </si>
  <si>
    <r>
      <t xml:space="preserve">Semiannual report - other </t>
    </r>
    <r>
      <rPr>
        <vertAlign val="superscript"/>
        <sz val="10"/>
        <color rgb="FF000000"/>
        <rFont val="Times New Roman"/>
        <family val="1"/>
      </rPr>
      <t>l</t>
    </r>
  </si>
  <si>
    <t>4.  Recordkeeping requirements</t>
  </si>
  <si>
    <t>A.  Familiarize with regulatory requirements</t>
  </si>
  <si>
    <t>See 3A</t>
  </si>
  <si>
    <t>B.  Plan activities</t>
  </si>
  <si>
    <t xml:space="preserve">C.  Implement activities </t>
  </si>
  <si>
    <t>D.  Develop record system</t>
  </si>
  <si>
    <t>E.  Time to enter information</t>
  </si>
  <si>
    <r>
      <t xml:space="preserve">Records of failures to meet standards/actions taken to minimize emissions </t>
    </r>
    <r>
      <rPr>
        <vertAlign val="superscript"/>
        <sz val="10"/>
        <color rgb="FF000000"/>
        <rFont val="Times New Roman"/>
        <family val="1"/>
      </rPr>
      <t>m</t>
    </r>
  </si>
  <si>
    <r>
      <t xml:space="preserve">Records of continuous parameters monitoring
system (CPMS) data </t>
    </r>
    <r>
      <rPr>
        <vertAlign val="superscript"/>
        <sz val="10"/>
        <color rgb="FF000000"/>
        <rFont val="Times New Roman"/>
        <family val="1"/>
      </rPr>
      <t>n</t>
    </r>
  </si>
  <si>
    <r>
      <t xml:space="preserve">Records of closed-loop systems </t>
    </r>
    <r>
      <rPr>
        <vertAlign val="superscript"/>
        <sz val="10"/>
        <color rgb="FF000000"/>
        <rFont val="Times New Roman"/>
        <family val="1"/>
      </rPr>
      <t>o</t>
    </r>
  </si>
  <si>
    <r>
      <t xml:space="preserve">Records of nitrogen systems </t>
    </r>
    <r>
      <rPr>
        <vertAlign val="superscript"/>
        <sz val="10"/>
        <color rgb="FF000000"/>
        <rFont val="Times New Roman"/>
        <family val="1"/>
      </rPr>
      <t>p</t>
    </r>
  </si>
  <si>
    <r>
      <t xml:space="preserve">Records of material balances </t>
    </r>
    <r>
      <rPr>
        <vertAlign val="superscript"/>
        <sz val="10"/>
        <color rgb="FF000000"/>
        <rFont val="Times New Roman"/>
        <family val="1"/>
      </rPr>
      <t>q</t>
    </r>
  </si>
  <si>
    <r>
      <t xml:space="preserve">Records of supporting calculations </t>
    </r>
    <r>
      <rPr>
        <vertAlign val="superscript"/>
        <sz val="10"/>
        <color rgb="FF000000"/>
        <rFont val="Times New Roman"/>
        <family val="1"/>
      </rPr>
      <t>r</t>
    </r>
  </si>
  <si>
    <t>Records for equipment leaks</t>
  </si>
  <si>
    <t>See 3E</t>
  </si>
  <si>
    <t>All other records</t>
  </si>
  <si>
    <t>F.  Time to train personnel</t>
  </si>
  <si>
    <r>
      <t xml:space="preserve">Initial training </t>
    </r>
    <r>
      <rPr>
        <vertAlign val="superscript"/>
        <sz val="10"/>
        <color rgb="FF000000"/>
        <rFont val="Times New Roman"/>
        <family val="1"/>
      </rPr>
      <t>e,s</t>
    </r>
  </si>
  <si>
    <r>
      <t xml:space="preserve">Refresher training </t>
    </r>
    <r>
      <rPr>
        <vertAlign val="superscript"/>
        <sz val="10"/>
        <color rgb="FF000000"/>
        <rFont val="Times New Roman"/>
        <family val="1"/>
      </rPr>
      <t>t</t>
    </r>
  </si>
  <si>
    <r>
      <t xml:space="preserve">G.  Time to transmit or disclose information </t>
    </r>
    <r>
      <rPr>
        <vertAlign val="superscript"/>
        <sz val="10"/>
        <color rgb="FF000000"/>
        <rFont val="Times New Roman"/>
        <family val="1"/>
      </rPr>
      <t>u</t>
    </r>
  </si>
  <si>
    <t>Compile data</t>
  </si>
  <si>
    <t>Enter and verify information for semiannual report</t>
  </si>
  <si>
    <t>H.  Time for audits</t>
  </si>
  <si>
    <t>Subtotal for Recordkeeping Requirements</t>
  </si>
  <si>
    <r>
      <t>a</t>
    </r>
    <r>
      <rPr>
        <sz val="10"/>
        <color theme="1"/>
        <rFont val="Times New Roman"/>
        <family val="1"/>
      </rPr>
      <t xml:space="preserve"> We estimate that there are 8 sources that are subject to the standard which includes the following facilities: 3 cellulose ether; 1 cellulosic sponge; 3 cellulose food casing; and 1 cellophane (for a total of 8 respondents). We estimate no new sources will become subject to the rule each year over the 3-year period of this ICR.</t>
    </r>
  </si>
  <si>
    <r>
      <rPr>
        <vertAlign val="superscript"/>
        <sz val="10"/>
        <color theme="1"/>
        <rFont val="Times New Roman"/>
        <family val="1"/>
      </rPr>
      <t>d</t>
    </r>
    <r>
      <rPr>
        <sz val="10"/>
        <color theme="1"/>
        <rFont val="Times New Roman"/>
        <family val="1"/>
      </rPr>
      <t xml:space="preserve"> We estimate that it will take the respondent 24 hours to prepare for periodic performance test (e.g., prepare test plan) and 24 hours to attend the test. We also estimate 2 plant personnel will attend the test. </t>
    </r>
  </si>
  <si>
    <r>
      <t>e</t>
    </r>
    <r>
      <rPr>
        <sz val="10"/>
        <rFont val="Times New Roman"/>
        <family val="1"/>
      </rPr>
      <t xml:space="preserve"> These requirements are one-time requirements that apply to new respondents. There are no new respondents estimated over the 3-year period of this ICR.</t>
    </r>
  </si>
  <si>
    <r>
      <rPr>
        <vertAlign val="superscript"/>
        <sz val="10"/>
        <color theme="1"/>
        <rFont val="Times New Roman"/>
        <family val="1"/>
      </rPr>
      <t>f</t>
    </r>
    <r>
      <rPr>
        <sz val="10"/>
        <color theme="1"/>
        <rFont val="Times New Roman"/>
        <family val="1"/>
      </rPr>
      <t xml:space="preserve">  We estimate that it will take the respondent 2 hours to complete the notification.</t>
    </r>
  </si>
  <si>
    <r>
      <rPr>
        <vertAlign val="superscript"/>
        <sz val="10"/>
        <color theme="1"/>
        <rFont val="Times New Roman"/>
        <family val="1"/>
      </rPr>
      <t>g</t>
    </r>
    <r>
      <rPr>
        <sz val="10"/>
        <color theme="1"/>
        <rFont val="Times New Roman"/>
        <family val="1"/>
      </rPr>
      <t xml:space="preserve"> We estimate that 6 facilities will need to submit notification of performance test, conduct the test, and report the results through CEDRI. No performance test required for the 2 cellulosic sponge and cellophane facilities because these facilities use recovery devices to meet the emission limit. These facilities are required to conduct a compliance demonstration based on the material balance for their process. The periodic testing will occur once during the 3-year ICR period (6 respondents/3 years = 2). All 8 facilities must submit a notification of compliance status with results of the performance test (8 respondents/3 years = 2.7).</t>
    </r>
  </si>
  <si>
    <r>
      <rPr>
        <vertAlign val="superscript"/>
        <sz val="10"/>
        <color theme="1"/>
        <rFont val="Times New Roman"/>
        <family val="1"/>
      </rPr>
      <t>h</t>
    </r>
    <r>
      <rPr>
        <sz val="10"/>
        <color theme="1"/>
        <rFont val="Times New Roman"/>
        <family val="1"/>
      </rPr>
      <t xml:space="preserve"> We estimate that it will take each respondent 40 hours to prepare the notification of compliance status.</t>
    </r>
  </si>
  <si>
    <r>
      <t>i</t>
    </r>
    <r>
      <rPr>
        <sz val="10"/>
        <color theme="1"/>
        <rFont val="Times New Roman"/>
        <family val="1"/>
      </rPr>
      <t xml:space="preserve"> We have assumed that 80% of all respondents will report no deviation (0.8 x 8 respondents = 6.4).</t>
    </r>
  </si>
  <si>
    <r>
      <t>j</t>
    </r>
    <r>
      <rPr>
        <sz val="10"/>
        <color theme="1"/>
        <rFont val="Times New Roman"/>
        <family val="1"/>
      </rPr>
      <t xml:space="preserve"> We have assumed that 20% of all respondents will report a deviation (0.2 x 8 respondents = 1.6).</t>
    </r>
  </si>
  <si>
    <r>
      <t>k</t>
    </r>
    <r>
      <rPr>
        <sz val="10"/>
        <color theme="1"/>
        <rFont val="Times New Roman"/>
        <family val="1"/>
      </rPr>
      <t xml:space="preserve"> We estimate that it will take each respondent 303 hours on a semiannual basis to write reports for 3 cellulose ether facilities subject to leak detection and repair (LDAR) requirements.</t>
    </r>
  </si>
  <si>
    <r>
      <t>l</t>
    </r>
    <r>
      <rPr>
        <sz val="10"/>
        <color theme="1"/>
        <rFont val="Times New Roman"/>
        <family val="1"/>
      </rPr>
      <t xml:space="preserve"> All other reports, including changes of information, closed-vent systems, bypass lines, heat exchanger systems, and storage vessel control device maintenance, will be reported twice per year for all 8 facilities.</t>
    </r>
  </si>
  <si>
    <r>
      <t xml:space="preserve">n </t>
    </r>
    <r>
      <rPr>
        <sz val="10"/>
        <color theme="1"/>
        <rFont val="Times New Roman"/>
        <family val="1"/>
      </rPr>
      <t>We estimate that it will take each respondent 1 hour to record information on a daily basis on process vent, storage tank and wastewater monitoring and inspections.</t>
    </r>
  </si>
  <si>
    <r>
      <t>o</t>
    </r>
    <r>
      <rPr>
        <sz val="10"/>
        <color theme="1"/>
        <rFont val="Times New Roman"/>
        <family val="1"/>
      </rPr>
      <t xml:space="preserve"> We estimate that it will take each respondent 2 hours to enter information on 1 cellulose ether facility with a closed-loop system.</t>
    </r>
  </si>
  <si>
    <r>
      <t xml:space="preserve">p  </t>
    </r>
    <r>
      <rPr>
        <sz val="10"/>
        <color theme="1"/>
        <rFont val="Times New Roman"/>
        <family val="1"/>
      </rPr>
      <t>We estimate that it will take each respondent 2 hours to enter information on 5 viscose process facilities with CS</t>
    </r>
    <r>
      <rPr>
        <vertAlign val="subscript"/>
        <sz val="10"/>
        <color theme="1"/>
        <rFont val="Times New Roman"/>
        <family val="1"/>
      </rPr>
      <t>2</t>
    </r>
    <r>
      <rPr>
        <sz val="10"/>
        <color theme="1"/>
        <rFont val="Times New Roman"/>
        <family val="1"/>
      </rPr>
      <t>, unloading and storage operations.</t>
    </r>
  </si>
  <si>
    <r>
      <t>q</t>
    </r>
    <r>
      <rPr>
        <sz val="10"/>
        <color theme="1"/>
        <rFont val="Times New Roman"/>
        <family val="1"/>
      </rPr>
      <t xml:space="preserve"> We estimate that it will take each respondent 8 hours to enter information on 5 viscose process facilities using material balances.</t>
    </r>
  </si>
  <si>
    <r>
      <t>r</t>
    </r>
    <r>
      <rPr>
        <sz val="10"/>
        <color theme="1"/>
        <rFont val="Times New Roman"/>
        <family val="1"/>
      </rPr>
      <t xml:space="preserve"> We estimate that it will take each respondent 8 hours to enter information on supporting calculations twice per year.</t>
    </r>
  </si>
  <si>
    <r>
      <t>s</t>
    </r>
    <r>
      <rPr>
        <sz val="10"/>
        <color theme="1"/>
        <rFont val="Times New Roman"/>
        <family val="1"/>
      </rPr>
      <t xml:space="preserve"> We estimate that it will take each respondent 1 week (40 hours) to provide initial training to personnel with new sources.</t>
    </r>
  </si>
  <si>
    <r>
      <t>t</t>
    </r>
    <r>
      <rPr>
        <sz val="10"/>
        <color theme="1"/>
        <rFont val="Times New Roman"/>
        <family val="1"/>
      </rPr>
      <t xml:space="preserve"> We estimate that it will take each respondent 2 days (16 hours) to provide refresher training to personnel.</t>
    </r>
  </si>
  <si>
    <r>
      <t xml:space="preserve">u </t>
    </r>
    <r>
      <rPr>
        <sz val="10"/>
        <color theme="1"/>
        <rFont val="Times New Roman"/>
        <family val="1"/>
      </rPr>
      <t>We have assumed that each respondent will enter and verify information for the semiannual report twice per year.</t>
    </r>
  </si>
  <si>
    <t>Activity</t>
  </si>
  <si>
    <t xml:space="preserve">(A) </t>
  </si>
  <si>
    <t xml:space="preserve">(B) </t>
  </si>
  <si>
    <t xml:space="preserve">(C) </t>
  </si>
  <si>
    <t>EPA person-hours per occurrence</t>
  </si>
  <si>
    <t>No. of occurrences per plant per year</t>
  </si>
  <si>
    <t>EPA person hours per plant per year 
(C=AxB)</t>
  </si>
  <si>
    <r>
      <t xml:space="preserve">Plants per year </t>
    </r>
    <r>
      <rPr>
        <b/>
        <vertAlign val="superscript"/>
        <sz val="10"/>
        <color rgb="FF000000"/>
        <rFont val="Times New Roman"/>
        <family val="1"/>
      </rPr>
      <t>a</t>
    </r>
    <r>
      <rPr>
        <b/>
        <sz val="10"/>
        <color rgb="FF000000"/>
        <rFont val="Times New Roman"/>
        <family val="1"/>
      </rPr>
      <t xml:space="preserve">  </t>
    </r>
  </si>
  <si>
    <t>Technical person-hours per year 
(E=CxD)</t>
  </si>
  <si>
    <t>Management person-hours per year (F=Ex0.05)</t>
  </si>
  <si>
    <t>Clerical person-hours per year (G=Ex0.1)</t>
  </si>
  <si>
    <r>
      <t xml:space="preserve">Cost, $ </t>
    </r>
    <r>
      <rPr>
        <b/>
        <vertAlign val="superscript"/>
        <sz val="10"/>
        <color rgb="FF000000"/>
        <rFont val="Times New Roman"/>
        <family val="1"/>
      </rPr>
      <t>b</t>
    </r>
  </si>
  <si>
    <r>
      <t xml:space="preserve">Attend performance test </t>
    </r>
    <r>
      <rPr>
        <vertAlign val="superscript"/>
        <sz val="10"/>
        <color rgb="FF000000"/>
        <rFont val="Times New Roman"/>
        <family val="1"/>
      </rPr>
      <t>c</t>
    </r>
  </si>
  <si>
    <r>
      <t xml:space="preserve">Excess emissions enforcement activities </t>
    </r>
    <r>
      <rPr>
        <vertAlign val="superscript"/>
        <sz val="10"/>
        <color rgb="FF000000"/>
        <rFont val="Times New Roman"/>
        <family val="1"/>
      </rPr>
      <t>d</t>
    </r>
  </si>
  <si>
    <t>Review reports</t>
  </si>
  <si>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</si>
  <si>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</si>
  <si>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applicability </t>
    </r>
    <r>
      <rPr>
        <vertAlign val="superscript"/>
        <sz val="10"/>
        <color rgb="FF000000"/>
        <rFont val="Times New Roman"/>
        <family val="1"/>
      </rPr>
      <t>e</t>
    </r>
  </si>
  <si>
    <r>
      <t xml:space="preserve">Notification of performance test </t>
    </r>
    <r>
      <rPr>
        <vertAlign val="superscript"/>
        <sz val="10"/>
        <color rgb="FF000000"/>
        <rFont val="Times New Roman"/>
        <family val="1"/>
      </rPr>
      <t>f</t>
    </r>
  </si>
  <si>
    <r>
      <t xml:space="preserve">Notification of CMS performance evaluation </t>
    </r>
    <r>
      <rPr>
        <vertAlign val="superscript"/>
        <sz val="10"/>
        <color rgb="FF000000"/>
        <rFont val="Times New Roman"/>
        <family val="1"/>
      </rPr>
      <t>f</t>
    </r>
  </si>
  <si>
    <r>
      <t xml:space="preserve">Notification of compliance status </t>
    </r>
    <r>
      <rPr>
        <vertAlign val="superscript"/>
        <sz val="10"/>
        <color rgb="FF000000"/>
        <rFont val="Times New Roman"/>
        <family val="1"/>
      </rPr>
      <t>g</t>
    </r>
  </si>
  <si>
    <r>
      <t xml:space="preserve">Report of performance test </t>
    </r>
    <r>
      <rPr>
        <vertAlign val="superscript"/>
        <sz val="10"/>
        <color rgb="FF000000"/>
        <rFont val="Times New Roman"/>
        <family val="1"/>
      </rPr>
      <t>h</t>
    </r>
  </si>
  <si>
    <r>
      <t xml:space="preserve">Report of CMS performance evaluation </t>
    </r>
    <r>
      <rPr>
        <vertAlign val="superscript"/>
        <sz val="10"/>
        <color rgb="FF000000"/>
        <rFont val="Times New Roman"/>
        <family val="1"/>
      </rPr>
      <t>h</t>
    </r>
  </si>
  <si>
    <r>
      <t xml:space="preserve">Semiannual report - wastewater </t>
    </r>
    <r>
      <rPr>
        <vertAlign val="superscript"/>
        <sz val="10"/>
        <color rgb="FF000000"/>
        <rFont val="Times New Roman"/>
        <family val="1"/>
      </rPr>
      <t>k</t>
    </r>
  </si>
  <si>
    <r>
      <t xml:space="preserve">Semiannual report - other  </t>
    </r>
    <r>
      <rPr>
        <vertAlign val="superscript"/>
        <sz val="10"/>
        <color rgb="FF000000"/>
        <rFont val="Times New Roman"/>
        <family val="1"/>
      </rPr>
      <t>l</t>
    </r>
  </si>
  <si>
    <r>
      <rPr>
        <vertAlign val="superscript"/>
        <sz val="10"/>
        <color theme="1"/>
        <rFont val="Times New Roman"/>
        <family val="1"/>
      </rPr>
      <t>c</t>
    </r>
    <r>
      <rPr>
        <sz val="10"/>
        <color theme="1"/>
        <rFont val="Times New Roman"/>
        <family val="1"/>
      </rPr>
      <t xml:space="preserve"> We estimate that it will take EPA personnel 24 hours to attend performance tests at 10% of facilities required to test (0.1 x 6 respondents/3 years = 0.2).</t>
    </r>
  </si>
  <si>
    <r>
      <rPr>
        <vertAlign val="superscript"/>
        <sz val="10"/>
        <rFont val="Times New Roman"/>
        <family val="1"/>
      </rPr>
      <t>d</t>
    </r>
    <r>
      <rPr>
        <sz val="10"/>
        <rFont val="Times New Roman"/>
        <family val="1"/>
      </rPr>
      <t xml:space="preserve"> We estimate that 10% of the affected facilities will be required to retest as a result of deviations, and EPA personnel will attend 10% of these tests (0.1 x 0.1 x 6 respondents = 0.06).</t>
    </r>
  </si>
  <si>
    <r>
      <t>e</t>
    </r>
    <r>
      <rPr>
        <sz val="10"/>
        <color theme="1"/>
        <rFont val="Times New Roman"/>
        <family val="1"/>
      </rPr>
      <t xml:space="preserve"> We estimate that it will take EPA personnel 2 hours to complete review of the initial notifications (construction/reconstruction, actual startup, applicability of standard).</t>
    </r>
  </si>
  <si>
    <r>
      <t>f</t>
    </r>
    <r>
      <rPr>
        <sz val="10"/>
        <color theme="1"/>
        <rFont val="Times New Roman"/>
        <family val="1"/>
      </rPr>
      <t xml:space="preserve"> We estimate that it will take EPA personnel 2 hours to complete review of the notifications of performance test and CMS performance evaluation for facilities required to test (6 respondents/3 years = 2).</t>
    </r>
  </si>
  <si>
    <r>
      <rPr>
        <vertAlign val="superscript"/>
        <sz val="10"/>
        <rFont val="Times New Roman"/>
        <family val="1"/>
      </rPr>
      <t>g</t>
    </r>
    <r>
      <rPr>
        <sz val="10"/>
        <rFont val="Times New Roman"/>
        <family val="1"/>
      </rPr>
      <t xml:space="preserve"> We estimate that it will take EPA personnel 4 hours to complete review of the notification of compliance status for all 8 facilities (8 respondents/3 years = 2.7).</t>
    </r>
  </si>
  <si>
    <r>
      <rPr>
        <vertAlign val="superscript"/>
        <sz val="10"/>
        <rFont val="Times New Roman"/>
        <family val="1"/>
      </rPr>
      <t>h</t>
    </r>
    <r>
      <rPr>
        <sz val="10"/>
        <rFont val="Times New Roman"/>
        <family val="1"/>
      </rPr>
      <t xml:space="preserve"> We estimate that it will take EPA personnel 8 hours to complete review of the performance test and CMS performance evaluation data for facilities required to test (6 respondents/3 years = 2).</t>
    </r>
  </si>
  <si>
    <r>
      <t>i</t>
    </r>
    <r>
      <rPr>
        <sz val="10"/>
        <color theme="1"/>
        <rFont val="Times New Roman"/>
        <family val="1"/>
      </rPr>
      <t xml:space="preserve"> We have assumed that 80% of respondents will report no deviations (0.8 x 8 respondents = 6.4) and that it will take EPA personnel 2 hours two times per year to review those reports.</t>
    </r>
  </si>
  <si>
    <r>
      <t xml:space="preserve">j </t>
    </r>
    <r>
      <rPr>
        <sz val="10"/>
        <color theme="1"/>
        <rFont val="Times New Roman"/>
        <family val="1"/>
      </rPr>
      <t>We have assumed that 20% of respondents will report deviations (0.2 x 8 respondents = 1.6) and that it will take EPA personnel 8 hours two times per year to review those reports.</t>
    </r>
  </si>
  <si>
    <r>
      <t xml:space="preserve">k </t>
    </r>
    <r>
      <rPr>
        <sz val="10"/>
        <color theme="1"/>
        <rFont val="Times New Roman"/>
        <family val="1"/>
      </rPr>
      <t>We estimate that it will take EPA personnel 8 hours two times per year to review the reports of 3 cellulose ether facilities subject to LDAR and wastewater requirements.</t>
    </r>
  </si>
  <si>
    <r>
      <t xml:space="preserve">l </t>
    </r>
    <r>
      <rPr>
        <sz val="10"/>
        <color theme="1"/>
        <rFont val="Times New Roman"/>
        <family val="1"/>
      </rPr>
      <t>We estimate that it will take EPA personnel 2 hours two times per year to review all other reports, including changes of information, closed-vent systems, bypass lines, heat exchanger systems, and storage vessel control device maintenance, for all 8 facilities.</t>
    </r>
  </si>
  <si>
    <t>Notification of CMS performance evaluation</t>
  </si>
  <si>
    <t>Semiannual report - no deviations</t>
  </si>
  <si>
    <t>Semiannual report – deviations</t>
  </si>
  <si>
    <t>Semiannual report - equipment leaks</t>
  </si>
  <si>
    <t>Semiannual report – wastewater</t>
  </si>
  <si>
    <t>Semiannual report - all others</t>
  </si>
  <si>
    <t>Continuous Parameter Monitoring System</t>
  </si>
  <si>
    <t>Method 15 for total sulfide</t>
  </si>
  <si>
    <t>Method 18 for organic HAP</t>
  </si>
  <si>
    <t>Method 25D for wastewater organic HAP</t>
  </si>
  <si>
    <t>Performance Tests:</t>
  </si>
  <si>
    <t xml:space="preserve">Number of New  Respondents </t>
  </si>
  <si>
    <r>
      <t>Number of Respondents with O&amp;M</t>
    </r>
    <r>
      <rPr>
        <b/>
        <vertAlign val="superscript"/>
        <sz val="10"/>
        <color theme="1"/>
        <rFont val="Times New Roman"/>
        <family val="1"/>
      </rPr>
      <t xml:space="preserve"> </t>
    </r>
  </si>
  <si>
    <t>Labor Rates</t>
  </si>
  <si>
    <t>Management</t>
  </si>
  <si>
    <t>Technical</t>
  </si>
  <si>
    <t>Clerical</t>
  </si>
  <si>
    <t xml:space="preserve">Technical </t>
  </si>
  <si>
    <r>
      <rPr>
        <vertAlign val="superscript"/>
        <sz val="10"/>
        <rFont val="Times New Roman"/>
        <family val="1"/>
      </rPr>
      <t xml:space="preserve">b </t>
    </r>
    <r>
      <rPr>
        <sz val="1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</si>
  <si>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b </t>
    </r>
    <r>
      <rPr>
        <sz val="10"/>
        <rFont val="Times New Roman"/>
        <family val="1"/>
      </rPr>
      <t xml:space="preserve"> The cost is based on the following labor rate which incorporates a 1.6 benefits multiplication factor to account for government overhead expenses.  Managerial rates of $73.456 (GS-13, Step 5, $45.91 + 60%), Technical rate of $54.512 (GS-12, Step 1, $34.07 + 60%), and Clerical rate of $29.504 (GS-6, Step 3, $18.44 + 60%).  These rates are from the Office of Personnel Management (OPM), 2023 General Schedule, which excludes locality, rates of pay. The rates have been increased by 60 percent to account for the benefit packages available to government employees. </t>
    </r>
  </si>
  <si>
    <t>hrs/response</t>
  </si>
  <si>
    <t>Table 1: Average Annual Respondent Burden and Cost – NESHAP for Cellulose Products Manufacturing (40 CFR Part 63, Subpart UUUU) (Renewal)</t>
  </si>
  <si>
    <r>
      <rPr>
        <vertAlign val="superscript"/>
        <sz val="10"/>
        <color theme="1"/>
        <rFont val="Times New Roman"/>
        <family val="1"/>
      </rPr>
      <t>c</t>
    </r>
    <r>
      <rPr>
        <sz val="10"/>
        <color theme="1"/>
        <rFont val="Times New Roman"/>
        <family val="1"/>
      </rPr>
      <t xml:space="preserve"> We have assumed that it will take the respondents 8 hours to familiarize themselves with the regulatory requirements during the three-year period covered by this ICR renewal (8 respondents/3 years = 2.7).</t>
    </r>
  </si>
  <si>
    <t>Table 2: Average Annual EPA Burden and Cost – NESHAP for Cellulose Products Manufacturing (40 CFR Part 63, Subpart UUUU) (Renewal)</t>
  </si>
  <si>
    <r>
      <rPr>
        <vertAlign val="superscript"/>
        <sz val="10"/>
        <color theme="1"/>
        <rFont val="Times New Roman"/>
        <family val="1"/>
      </rPr>
      <t xml:space="preserve">b  </t>
    </r>
    <r>
      <rPr>
        <sz val="10"/>
        <color theme="1"/>
        <rFont val="Times New Roman"/>
        <family val="1"/>
      </rPr>
      <t>Annualized capital costs were estimated assuming a 5-year payment period at 7% interest for periodic performance tests (with capital recovery factor of 0.2439).</t>
    </r>
  </si>
  <si>
    <r>
      <t xml:space="preserve">m </t>
    </r>
    <r>
      <rPr>
        <sz val="10"/>
        <color theme="1"/>
        <rFont val="Times New Roman"/>
        <family val="1"/>
      </rPr>
      <t>We have assumed that 5% of respondents will fail to meet standards each year (0.05 x 8 = 0.4). We estimate that each respondent will take 2 hours 12 times per year to keep records of failures to meet the standards and the actions taken to minimize emissions.</t>
    </r>
  </si>
  <si>
    <t>5900-647</t>
  </si>
  <si>
    <t xml:space="preserve">Totals (rounded) </t>
  </si>
  <si>
    <r>
      <t xml:space="preserve">Total annualized capital cost  </t>
    </r>
    <r>
      <rPr>
        <b/>
        <vertAlign val="superscript"/>
        <sz val="10"/>
        <color theme="1"/>
        <rFont val="Times New Roman"/>
        <family val="1"/>
      </rPr>
      <t xml:space="preserve"> b</t>
    </r>
  </si>
  <si>
    <t xml:space="preserve">GRAND TOTAL </t>
  </si>
  <si>
    <t xml:space="preserve">TOTAL ANNUALIZED CAPITAL AND O&amp;M COST </t>
  </si>
  <si>
    <t>TOTAL LABOR BURDEN AND COST</t>
  </si>
  <si>
    <t>TOTAL ANNUAL BURDEN AND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</si>
</sst>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1" formatCode="_(* #,##0_);_(* \(#,##0\);_(* &quot;-&quot;_);_(@_)"/>
    <numFmt numFmtId="44" formatCode="_(&quot;$&quot;* #,##0.00_);_(&quot;$&quot;* \(#,##0.00\);_(&quot;$&quot;* &quot;-&quot;??_);_(@_)"/>
    <numFmt numFmtId="164" formatCode="General_)"/>
    <numFmt numFmtId="165" formatCode="&quot;$&quot;#,##0.00"/>
    <numFmt numFmtId="166" formatCode="0.0"/>
  </numFmts>
  <fonts count="22"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1"/>
      <color theme="1"/>
      <name val="Calibri"/>
      <family val="2"/>
      <scheme val="minor"/>
    </font>
    <font>
      <vertAlign val="superscript"/>
      <sz val="12"/>
      <color theme="1"/>
      <name val="Times New Roman"/>
      <family val="1"/>
    </font>
    <font>
      <vertAlign val="superscript"/>
      <sz val="12"/>
      <name val="Times New Roman"/>
      <family val="1"/>
    </font>
    <font>
      <sz val="11"/>
      <name val="Calibri"/>
      <family val="2"/>
      <scheme val="minor"/>
    </font>
    <font>
      <vertAlign val="subscript"/>
      <sz val="10"/>
      <color theme="1"/>
      <name val="Times New Roman"/>
      <family val="1"/>
    </font>
    <font>
      <sz val="9"/>
      <color rgb="FF000000"/>
      <name val="Times New Roman"/>
      <family val="1"/>
    </font>
    <font>
      <b/>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7" fillId="0" borderId="0"/>
    <xf numFmtId="44" fontId="15" fillId="0" borderId="0" applyFont="0" applyFill="0" applyBorder="0" applyAlignment="0" applyProtection="0"/>
  </cellStyleXfs>
  <cellXfs count="108">
    <xf numFmtId="0" fontId="0" fillId="0" borderId="0" xfId="0"/>
    <xf numFmtId="0" fontId="1" fillId="0" borderId="0" xfId="0" applyFont="1"/>
    <xf numFmtId="0" fontId="5" fillId="0" borderId="0" xfId="0" applyFont="1"/>
    <xf numFmtId="164" fontId="6" fillId="0" borderId="0" xfId="1" applyFont="1" applyAlignment="1">
      <alignment horizontal="center" vertical="center" wrapText="1"/>
    </xf>
    <xf numFmtId="165" fontId="6" fillId="0" borderId="0" xfId="1" applyNumberFormat="1" applyFont="1" applyAlignment="1">
      <alignment horizontal="right" wrapText="1"/>
    </xf>
    <xf numFmtId="0" fontId="14" fillId="0" borderId="0" xfId="0" applyFont="1"/>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14" fillId="0" borderId="0" xfId="0" applyFont="1" applyAlignment="1">
      <alignment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6" fontId="6"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6" fontId="14" fillId="0" borderId="0" xfId="0" applyNumberFormat="1" applyFont="1"/>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8" fillId="0" borderId="0" xfId="0" applyFont="1" applyAlignment="1">
      <alignment horizontal="left" vertical="center"/>
    </xf>
    <xf numFmtId="0" fontId="0" fillId="0" borderId="0" xfId="0" applyAlignment="1">
      <alignment horizontal="left"/>
    </xf>
    <xf numFmtId="0" fontId="9" fillId="0" borderId="1" xfId="0" applyFont="1" applyBorder="1" applyAlignment="1">
      <alignment vertical="center"/>
    </xf>
    <xf numFmtId="0" fontId="9" fillId="0" borderId="1" xfId="0" applyFont="1" applyBorder="1" applyAlignment="1">
      <alignment horizontal="center" vertical="center"/>
    </xf>
    <xf numFmtId="0" fontId="1" fillId="0" borderId="1" xfId="0" applyFont="1" applyBorder="1" applyAlignment="1">
      <alignment vertical="center"/>
    </xf>
    <xf numFmtId="0" fontId="9" fillId="0" borderId="1" xfId="0" applyFont="1" applyBorder="1" applyAlignment="1">
      <alignment horizontal="left" vertical="center" indent="1"/>
    </xf>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6" fontId="9" fillId="0" borderId="1" xfId="0" applyNumberFormat="1" applyFont="1" applyBorder="1" applyAlignment="1">
      <alignment horizontal="right" vertical="center"/>
    </xf>
    <xf numFmtId="0" fontId="9" fillId="0" borderId="1" xfId="0" applyFont="1" applyBorder="1" applyAlignment="1">
      <alignment horizontal="left" vertical="center" indent="2"/>
    </xf>
    <xf numFmtId="37" fontId="1" fillId="0" borderId="1" xfId="0" applyNumberFormat="1" applyFont="1" applyBorder="1" applyAlignment="1">
      <alignment horizontal="center" vertical="center"/>
    </xf>
    <xf numFmtId="37" fontId="9" fillId="0" borderId="0" xfId="0" applyNumberFormat="1" applyFont="1" applyAlignment="1">
      <alignment horizontal="center" vertical="center"/>
    </xf>
    <xf numFmtId="0" fontId="1" fillId="0" borderId="0" xfId="0" applyFont="1" applyAlignment="1">
      <alignment horizontal="center" vertical="center"/>
    </xf>
    <xf numFmtId="37" fontId="1" fillId="0" borderId="0" xfId="0" applyNumberFormat="1" applyFont="1" applyAlignment="1">
      <alignment horizontal="center" vertical="center"/>
    </xf>
    <xf numFmtId="3" fontId="1" fillId="0" borderId="0" xfId="0" applyNumberFormat="1" applyFont="1" applyAlignment="1">
      <alignment horizontal="center" vertical="center"/>
    </xf>
    <xf numFmtId="7" fontId="1" fillId="0" borderId="0" xfId="0" applyNumberFormat="1" applyFont="1" applyAlignment="1">
      <alignment vertical="center"/>
    </xf>
    <xf numFmtId="1" fontId="9" fillId="0" borderId="1" xfId="0" applyNumberFormat="1" applyFont="1" applyBorder="1" applyAlignment="1">
      <alignment horizontal="center" vertical="center"/>
    </xf>
    <xf numFmtId="166"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6" fontId="1" fillId="0" borderId="1" xfId="0" applyNumberFormat="1" applyFont="1" applyBorder="1" applyAlignment="1">
      <alignment vertical="center"/>
    </xf>
    <xf numFmtId="0" fontId="10" fillId="0" borderId="1" xfId="0" applyFont="1" applyBorder="1" applyAlignment="1">
      <alignment vertical="center"/>
    </xf>
    <xf numFmtId="3" fontId="10" fillId="0" borderId="1" xfId="0" applyNumberFormat="1" applyFont="1" applyBorder="1" applyAlignment="1">
      <alignment horizontal="center" vertical="center"/>
    </xf>
    <xf numFmtId="6" fontId="10" fillId="0" borderId="1" xfId="0" applyNumberFormat="1" applyFont="1" applyBorder="1" applyAlignment="1">
      <alignment horizontal="right" vertical="center"/>
    </xf>
    <xf numFmtId="0" fontId="9" fillId="0" borderId="1" xfId="0" applyFont="1" applyBorder="1" applyAlignment="1">
      <alignment horizontal="left" vertical="center" wrapText="1" indent="2"/>
    </xf>
    <xf numFmtId="0" fontId="9" fillId="0" borderId="1" xfId="0" applyFont="1" applyBorder="1" applyAlignment="1">
      <alignment horizontal="left" vertical="center" indent="3"/>
    </xf>
    <xf numFmtId="0" fontId="2" fillId="0" borderId="0" xfId="0" applyFont="1" applyAlignment="1">
      <alignment horizontal="left" vertical="center"/>
    </xf>
    <xf numFmtId="0" fontId="18" fillId="0" borderId="0" xfId="0" applyFont="1" applyAlignment="1">
      <alignment wrapText="1"/>
    </xf>
    <xf numFmtId="0" fontId="9" fillId="0" borderId="1" xfId="0" applyFont="1" applyBorder="1" applyAlignment="1">
      <alignment horizontal="right" vertical="center"/>
    </xf>
    <xf numFmtId="0" fontId="2" fillId="0" borderId="0" xfId="0" applyFont="1" applyAlignment="1">
      <alignment vertical="center"/>
    </xf>
    <xf numFmtId="0" fontId="20" fillId="0" borderId="1" xfId="0" applyFont="1" applyBorder="1" applyAlignment="1">
      <alignment horizontal="center" vertical="center" wrapText="1"/>
    </xf>
    <xf numFmtId="0" fontId="9" fillId="0" borderId="0" xfId="0" applyFont="1" applyAlignment="1">
      <alignment vertical="top" wrapText="1"/>
    </xf>
    <xf numFmtId="164" fontId="6" fillId="0" borderId="0" xfId="1" applyFont="1" applyAlignment="1">
      <alignment vertical="top" wrapText="1"/>
    </xf>
    <xf numFmtId="0" fontId="2" fillId="0" borderId="4" xfId="0" applyFont="1" applyBorder="1" applyAlignment="1">
      <alignment horizontal="center" vertical="center" wrapText="1"/>
    </xf>
    <xf numFmtId="0" fontId="1" fillId="0" borderId="1" xfId="0" applyFont="1" applyBorder="1" applyAlignment="1">
      <alignment wrapText="1"/>
    </xf>
    <xf numFmtId="6" fontId="9" fillId="0" borderId="1" xfId="0" applyNumberFormat="1" applyFont="1" applyBorder="1" applyAlignment="1">
      <alignment horizontal="center" vertical="center" wrapText="1"/>
    </xf>
    <xf numFmtId="0" fontId="1" fillId="0" borderId="1" xfId="0" applyFont="1" applyBorder="1" applyAlignment="1">
      <alignment horizontal="left" vertical="center" wrapText="1" indent="1"/>
    </xf>
    <xf numFmtId="0" fontId="2" fillId="0" borderId="0" xfId="0" applyFont="1" applyAlignment="1">
      <alignment horizontal="center" vertical="center"/>
    </xf>
    <xf numFmtId="166" fontId="1" fillId="0" borderId="0" xfId="0" applyNumberFormat="1" applyFont="1" applyAlignment="1">
      <alignment horizontal="center" vertical="center"/>
    </xf>
    <xf numFmtId="1" fontId="2" fillId="0" borderId="0" xfId="0" applyNumberFormat="1" applyFont="1" applyAlignment="1">
      <alignment horizontal="center" vertical="center"/>
    </xf>
    <xf numFmtId="0" fontId="9" fillId="0" borderId="1" xfId="0" applyFont="1" applyBorder="1"/>
    <xf numFmtId="165" fontId="1" fillId="0" borderId="1" xfId="0" applyNumberFormat="1" applyFont="1" applyBorder="1"/>
    <xf numFmtId="7" fontId="6" fillId="0" borderId="0" xfId="2" applyNumberFormat="1" applyFont="1" applyBorder="1" applyAlignment="1">
      <alignment horizontal="center" vertical="center"/>
    </xf>
    <xf numFmtId="0" fontId="6" fillId="0" borderId="0" xfId="0" applyFont="1" applyAlignment="1">
      <alignment horizontal="center" vertical="center" wrapText="1"/>
    </xf>
    <xf numFmtId="165" fontId="6" fillId="0" borderId="0" xfId="0" applyNumberFormat="1" applyFont="1" applyAlignment="1">
      <alignment horizontal="center" vertical="center"/>
    </xf>
    <xf numFmtId="1" fontId="1" fillId="0" borderId="0" xfId="0" applyNumberFormat="1" applyFont="1" applyAlignment="1">
      <alignment horizontal="center" vertical="center"/>
    </xf>
    <xf numFmtId="0" fontId="2" fillId="0" borderId="1" xfId="0" applyFont="1" applyBorder="1" applyAlignment="1">
      <alignment horizontal="left" vertical="center" wrapText="1"/>
    </xf>
    <xf numFmtId="6" fontId="2" fillId="0" borderId="1" xfId="0" applyNumberFormat="1" applyFont="1" applyBorder="1" applyAlignment="1">
      <alignment horizontal="center" vertical="center" wrapText="1"/>
    </xf>
    <xf numFmtId="6" fontId="21" fillId="0" borderId="1" xfId="0" applyNumberFormat="1" applyFont="1" applyBorder="1" applyAlignment="1">
      <alignment horizontal="center" vertical="center" wrapText="1"/>
    </xf>
    <xf numFmtId="0" fontId="18" fillId="0" borderId="0" xfId="0" applyFont="1" applyAlignment="1">
      <alignment horizontal="left"/>
    </xf>
    <xf numFmtId="0" fontId="0" fillId="0" borderId="0" xfId="0" applyAlignment="1">
      <alignment horizontal="center"/>
    </xf>
    <xf numFmtId="0" fontId="4" fillId="0" borderId="0" xfId="0" applyFont="1" applyAlignment="1">
      <alignment horizontal="left" vertical="center"/>
    </xf>
    <xf numFmtId="0" fontId="16" fillId="0" borderId="0" xfId="0" applyFont="1" applyAlignment="1">
      <alignment horizontal="left" vertical="center" wrapText="1"/>
    </xf>
    <xf numFmtId="0" fontId="1" fillId="0" borderId="0" xfId="0" applyFont="1" applyAlignment="1">
      <alignmen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12" fillId="0" borderId="0" xfId="0" applyFont="1" applyAlignment="1">
      <alignment horizontal="left" vertical="top" wrapText="1"/>
    </xf>
    <xf numFmtId="0" fontId="4"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7" fillId="0" borderId="0" xfId="0" applyFont="1" applyAlignment="1">
      <alignment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9" fillId="0" borderId="1" xfId="0" applyFont="1" applyBorder="1" applyAlignment="1">
      <alignment horizontal="center"/>
    </xf>
    <xf numFmtId="0" fontId="4" fillId="0" borderId="0" xfId="0" applyFont="1" applyAlignment="1">
      <alignment wrapText="1"/>
    </xf>
    <xf numFmtId="0" fontId="6" fillId="0" borderId="0" xfId="0" applyFont="1" applyAlignment="1">
      <alignment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xf>
    <xf numFmtId="0" fontId="6"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8" fillId="0" borderId="1" xfId="0" applyFont="1" applyBorder="1" applyAlignment="1">
      <alignment horizontal="center" vertical="center" wrapText="1"/>
    </xf>
    <xf numFmtId="0" fontId="10" fillId="0" borderId="1" xfId="0" applyFont="1" applyBorder="1" applyAlignment="1">
      <alignment vertical="center" wrapText="1"/>
    </xf>
  </cellXfs>
  <cellStyles count="3">
    <cellStyle name="Currency" xfId="2"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workbookViewId="0">
      <selection activeCell="F16" sqref="F16"/>
    </sheetView>
  </sheetViews>
  <sheetFormatPr defaultRowHeight="15" x14ac:dyDescent="0.25"/>
  <cols>
    <col min="1" max="1" width="27.7109375" bestFit="1" customWidth="1"/>
    <col min="2" max="2" width="10.5703125" bestFit="1" customWidth="1"/>
  </cols>
  <sheetData>
    <row r="1" spans="1:2" x14ac:dyDescent="0.25">
      <c r="A1" s="80" t="s">
        <v>0</v>
      </c>
      <c r="B1" s="80"/>
    </row>
    <row r="2" spans="1:2" x14ac:dyDescent="0.25">
      <c r="A2" t="s">
        <v>1</v>
      </c>
      <c r="B2" s="26">
        <f>'Table 1'!O51</f>
        <v>143.10729783037476</v>
      </c>
    </row>
    <row r="3" spans="1:2" x14ac:dyDescent="0.25">
      <c r="A3" t="s">
        <v>2</v>
      </c>
      <c r="B3">
        <f>Respondents!F8</f>
        <v>8</v>
      </c>
    </row>
    <row r="4" spans="1:2" x14ac:dyDescent="0.25">
      <c r="A4" t="s">
        <v>3</v>
      </c>
      <c r="B4" s="27">
        <f>'Table 1'!F51</f>
        <v>7255.5400000000009</v>
      </c>
    </row>
    <row r="5" spans="1:2" x14ac:dyDescent="0.25">
      <c r="A5" t="s">
        <v>4</v>
      </c>
      <c r="B5" s="28">
        <f>'Table 1'!I53</f>
        <v>1078427.2707333334</v>
      </c>
    </row>
    <row r="6" spans="1:2" x14ac:dyDescent="0.25">
      <c r="A6" t="s">
        <v>5</v>
      </c>
      <c r="B6" s="28">
        <f>'Capital O&amp;M'!I11</f>
        <v>163533.33333333334</v>
      </c>
    </row>
    <row r="7" spans="1:2" x14ac:dyDescent="0.25">
      <c r="A7" t="s">
        <v>6</v>
      </c>
      <c r="B7" s="29">
        <f>Responses!E12</f>
        <v>50.7</v>
      </c>
    </row>
    <row r="8" spans="1:2" x14ac:dyDescent="0.25">
      <c r="A8" t="s">
        <v>41</v>
      </c>
      <c r="B8" s="79" t="s">
        <v>184</v>
      </c>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4DAF-D3D1-4185-BB6E-25411BEF3A5E}">
  <dimension ref="A1:V77"/>
  <sheetViews>
    <sheetView topLeftCell="A38" workbookViewId="0">
      <selection activeCell="I52" sqref="I52"/>
    </sheetView>
  </sheetViews>
  <sheetFormatPr defaultRowHeight="15" x14ac:dyDescent="0.25"/>
  <cols>
    <col min="1" max="1" width="61.5703125" customWidth="1"/>
    <col min="2" max="2" width="9.85546875" customWidth="1"/>
    <col min="3" max="3" width="11.42578125" customWidth="1"/>
    <col min="4" max="4" width="9.42578125" customWidth="1"/>
    <col min="5" max="5" width="10.85546875" customWidth="1"/>
    <col min="7" max="7" width="11" customWidth="1"/>
    <col min="9" max="9" width="11.140625" customWidth="1"/>
    <col min="15" max="15" width="16.42578125" bestFit="1" customWidth="1"/>
  </cols>
  <sheetData>
    <row r="1" spans="1:22" ht="15.75" x14ac:dyDescent="0.25">
      <c r="A1" s="30" t="s">
        <v>179</v>
      </c>
    </row>
    <row r="2" spans="1:22" x14ac:dyDescent="0.25">
      <c r="A2" s="31"/>
      <c r="F2" s="74"/>
      <c r="G2" s="74"/>
      <c r="H2" s="74"/>
      <c r="I2" s="73"/>
    </row>
    <row r="3" spans="1:22" ht="15" customHeight="1" x14ac:dyDescent="0.25">
      <c r="A3" s="91" t="s">
        <v>9</v>
      </c>
      <c r="B3" s="17" t="s">
        <v>11</v>
      </c>
      <c r="C3" s="17" t="s">
        <v>12</v>
      </c>
      <c r="D3" s="17" t="s">
        <v>13</v>
      </c>
      <c r="E3" s="17" t="s">
        <v>42</v>
      </c>
      <c r="F3" s="17" t="s">
        <v>43</v>
      </c>
      <c r="G3" s="17" t="s">
        <v>44</v>
      </c>
      <c r="H3" s="17" t="s">
        <v>45</v>
      </c>
      <c r="I3" s="17" t="s">
        <v>46</v>
      </c>
    </row>
    <row r="4" spans="1:22" ht="63.75" x14ac:dyDescent="0.25">
      <c r="A4" s="91"/>
      <c r="B4" s="17" t="s">
        <v>47</v>
      </c>
      <c r="C4" s="17" t="s">
        <v>48</v>
      </c>
      <c r="D4" s="17" t="s">
        <v>49</v>
      </c>
      <c r="E4" s="17" t="s">
        <v>50</v>
      </c>
      <c r="F4" s="17" t="s">
        <v>51</v>
      </c>
      <c r="G4" s="17" t="s">
        <v>52</v>
      </c>
      <c r="H4" s="17" t="s">
        <v>53</v>
      </c>
      <c r="I4" s="17" t="s">
        <v>54</v>
      </c>
    </row>
    <row r="5" spans="1:22" x14ac:dyDescent="0.25">
      <c r="A5" s="32" t="s">
        <v>55</v>
      </c>
      <c r="B5" s="33" t="s">
        <v>56</v>
      </c>
      <c r="C5" s="34"/>
      <c r="D5" s="34"/>
      <c r="E5" s="34"/>
      <c r="F5" s="34"/>
      <c r="G5" s="34"/>
      <c r="H5" s="34"/>
      <c r="I5" s="34"/>
      <c r="L5" s="93" t="s">
        <v>171</v>
      </c>
      <c r="M5" s="93"/>
    </row>
    <row r="6" spans="1:22" x14ac:dyDescent="0.25">
      <c r="A6" s="32" t="s">
        <v>57</v>
      </c>
      <c r="B6" s="33" t="s">
        <v>56</v>
      </c>
      <c r="C6" s="34"/>
      <c r="D6" s="34"/>
      <c r="E6" s="34"/>
      <c r="F6" s="34"/>
      <c r="G6" s="34"/>
      <c r="H6" s="34"/>
      <c r="I6" s="34"/>
      <c r="L6" s="70" t="s">
        <v>172</v>
      </c>
      <c r="M6" s="71">
        <v>163.16999999999999</v>
      </c>
    </row>
    <row r="7" spans="1:22" x14ac:dyDescent="0.25">
      <c r="A7" s="32" t="s">
        <v>58</v>
      </c>
      <c r="B7" s="34"/>
      <c r="C7" s="34"/>
      <c r="D7" s="34"/>
      <c r="E7" s="34"/>
      <c r="F7" s="34"/>
      <c r="G7" s="34"/>
      <c r="H7" s="34"/>
      <c r="I7" s="34"/>
      <c r="L7" s="70" t="s">
        <v>173</v>
      </c>
      <c r="M7" s="71">
        <v>130.28</v>
      </c>
    </row>
    <row r="8" spans="1:22" ht="15.75" x14ac:dyDescent="0.25">
      <c r="A8" s="35" t="s">
        <v>59</v>
      </c>
      <c r="B8" s="33">
        <v>8</v>
      </c>
      <c r="C8" s="36">
        <v>1</v>
      </c>
      <c r="D8" s="36">
        <f>+B8*C8</f>
        <v>8</v>
      </c>
      <c r="E8" s="37">
        <f>8/3</f>
        <v>2.6666666666666665</v>
      </c>
      <c r="F8" s="38">
        <f>+D8*E8</f>
        <v>21.333333333333332</v>
      </c>
      <c r="G8" s="37">
        <f>+F8*0.05</f>
        <v>1.0666666666666667</v>
      </c>
      <c r="H8" s="37">
        <f>+F8*0.1</f>
        <v>2.1333333333333333</v>
      </c>
      <c r="I8" s="39">
        <f>$M$7*F8+$M$6*G8+$M$8*H8</f>
        <v>3093.5359999999996</v>
      </c>
      <c r="K8" s="1"/>
      <c r="L8" s="70" t="s">
        <v>174</v>
      </c>
      <c r="M8" s="71">
        <v>65.709999999999994</v>
      </c>
    </row>
    <row r="9" spans="1:22" ht="15.75" x14ac:dyDescent="0.25">
      <c r="A9" s="35" t="s">
        <v>60</v>
      </c>
      <c r="B9" s="33"/>
      <c r="C9" s="34"/>
      <c r="D9" s="36"/>
      <c r="E9" s="34"/>
      <c r="F9" s="34"/>
      <c r="G9" s="34"/>
      <c r="H9" s="34"/>
      <c r="I9" s="34"/>
      <c r="O9" s="1"/>
    </row>
    <row r="10" spans="1:22" x14ac:dyDescent="0.25">
      <c r="A10" s="40" t="s">
        <v>61</v>
      </c>
      <c r="B10" s="41">
        <v>24</v>
      </c>
      <c r="C10" s="36">
        <v>1</v>
      </c>
      <c r="D10" s="36">
        <f t="shared" ref="D10:D11" si="0">+B10*C10</f>
        <v>24</v>
      </c>
      <c r="E10" s="36">
        <f>6/3</f>
        <v>2</v>
      </c>
      <c r="F10" s="38">
        <f t="shared" ref="F10:F11" si="1">+D10*E10</f>
        <v>48</v>
      </c>
      <c r="G10" s="37">
        <f t="shared" ref="G10:G11" si="2">+F10*0.05</f>
        <v>2.4000000000000004</v>
      </c>
      <c r="H10" s="37">
        <f t="shared" ref="H10:H11" si="3">+F10*0.1</f>
        <v>4.8000000000000007</v>
      </c>
      <c r="I10" s="39">
        <f>$M$7*F10+$M$6*G10+$M$8*H10</f>
        <v>6960.456000000001</v>
      </c>
      <c r="O10" s="42"/>
      <c r="P10" s="43"/>
      <c r="Q10" s="44"/>
      <c r="R10" s="43"/>
      <c r="S10" s="45"/>
      <c r="T10" s="45"/>
      <c r="U10" s="45"/>
      <c r="V10" s="46"/>
    </row>
    <row r="11" spans="1:22" x14ac:dyDescent="0.25">
      <c r="A11" s="40" t="s">
        <v>62</v>
      </c>
      <c r="B11" s="41">
        <v>24</v>
      </c>
      <c r="C11" s="36">
        <v>2</v>
      </c>
      <c r="D11" s="36">
        <f t="shared" si="0"/>
        <v>48</v>
      </c>
      <c r="E11" s="36">
        <f>6/3</f>
        <v>2</v>
      </c>
      <c r="F11" s="38">
        <f t="shared" si="1"/>
        <v>96</v>
      </c>
      <c r="G11" s="37">
        <f t="shared" si="2"/>
        <v>4.8000000000000007</v>
      </c>
      <c r="H11" s="37">
        <f t="shared" si="3"/>
        <v>9.6000000000000014</v>
      </c>
      <c r="I11" s="39">
        <f>$M$7*F11+$M$6*G11+$M$8*H11</f>
        <v>13920.912000000002</v>
      </c>
      <c r="O11" s="42"/>
      <c r="P11" s="43"/>
      <c r="Q11" s="44"/>
      <c r="R11" s="43"/>
      <c r="S11" s="45"/>
      <c r="T11" s="45"/>
      <c r="U11" s="45"/>
      <c r="V11" s="46"/>
    </row>
    <row r="12" spans="1:22" x14ac:dyDescent="0.25">
      <c r="A12" s="35" t="s">
        <v>63</v>
      </c>
      <c r="B12" s="33" t="s">
        <v>64</v>
      </c>
      <c r="C12" s="34"/>
      <c r="D12" s="36"/>
      <c r="E12" s="34"/>
      <c r="F12" s="34"/>
      <c r="G12" s="34"/>
      <c r="H12" s="34"/>
      <c r="I12" s="34"/>
    </row>
    <row r="13" spans="1:22" x14ac:dyDescent="0.25">
      <c r="A13" s="35" t="s">
        <v>65</v>
      </c>
      <c r="B13" s="33" t="s">
        <v>64</v>
      </c>
      <c r="C13" s="34"/>
      <c r="D13" s="36"/>
      <c r="E13" s="34"/>
      <c r="F13" s="34"/>
      <c r="G13" s="34"/>
      <c r="H13" s="34"/>
      <c r="I13" s="34"/>
    </row>
    <row r="14" spans="1:22" x14ac:dyDescent="0.25">
      <c r="A14" s="35" t="s">
        <v>66</v>
      </c>
      <c r="B14" s="34"/>
      <c r="C14" s="34"/>
      <c r="D14" s="36"/>
      <c r="E14" s="34"/>
      <c r="F14" s="34"/>
      <c r="G14" s="34"/>
      <c r="H14" s="34"/>
      <c r="I14" s="34"/>
      <c r="O14" s="67"/>
    </row>
    <row r="15" spans="1:22" ht="15.75" x14ac:dyDescent="0.25">
      <c r="A15" s="40" t="s">
        <v>67</v>
      </c>
      <c r="B15" s="33">
        <v>2</v>
      </c>
      <c r="C15" s="36">
        <v>1</v>
      </c>
      <c r="D15" s="36">
        <f t="shared" ref="D15:D21" si="4">+B15*C15</f>
        <v>2</v>
      </c>
      <c r="E15" s="36">
        <v>0</v>
      </c>
      <c r="F15" s="36">
        <f t="shared" ref="F15:F21" si="5">+D15*E15</f>
        <v>0</v>
      </c>
      <c r="G15" s="36">
        <f t="shared" ref="G15:G21" si="6">+F15*0.05</f>
        <v>0</v>
      </c>
      <c r="H15" s="36">
        <f t="shared" ref="H15:H21" si="7">+F15*0.1</f>
        <v>0</v>
      </c>
      <c r="I15" s="39">
        <f>$M$7*F15+$M$6*G15+$M$8*H15</f>
        <v>0</v>
      </c>
      <c r="O15" s="43"/>
    </row>
    <row r="16" spans="1:22" ht="15.75" x14ac:dyDescent="0.25">
      <c r="A16" s="40" t="s">
        <v>68</v>
      </c>
      <c r="B16" s="33">
        <v>2</v>
      </c>
      <c r="C16" s="36">
        <v>1</v>
      </c>
      <c r="D16" s="36">
        <f t="shared" si="4"/>
        <v>2</v>
      </c>
      <c r="E16" s="36">
        <v>0</v>
      </c>
      <c r="F16" s="36">
        <f t="shared" si="5"/>
        <v>0</v>
      </c>
      <c r="G16" s="36">
        <f t="shared" si="6"/>
        <v>0</v>
      </c>
      <c r="H16" s="36">
        <f t="shared" si="7"/>
        <v>0</v>
      </c>
      <c r="I16" s="39">
        <f t="shared" ref="I16:I27" si="8">$M$7*F16+$M$6*G16+$M$8*H16</f>
        <v>0</v>
      </c>
      <c r="O16" s="43"/>
    </row>
    <row r="17" spans="1:15" ht="15.75" x14ac:dyDescent="0.25">
      <c r="A17" s="40" t="s">
        <v>69</v>
      </c>
      <c r="B17" s="33">
        <v>2</v>
      </c>
      <c r="C17" s="36">
        <v>1</v>
      </c>
      <c r="D17" s="36">
        <f t="shared" si="4"/>
        <v>2</v>
      </c>
      <c r="E17" s="36">
        <v>0</v>
      </c>
      <c r="F17" s="36">
        <f t="shared" si="5"/>
        <v>0</v>
      </c>
      <c r="G17" s="36">
        <f t="shared" si="6"/>
        <v>0</v>
      </c>
      <c r="H17" s="36">
        <f t="shared" si="7"/>
        <v>0</v>
      </c>
      <c r="I17" s="39">
        <f t="shared" si="8"/>
        <v>0</v>
      </c>
      <c r="O17" s="43"/>
    </row>
    <row r="18" spans="1:15" ht="15.75" x14ac:dyDescent="0.25">
      <c r="A18" s="40" t="s">
        <v>70</v>
      </c>
      <c r="B18" s="33">
        <v>2</v>
      </c>
      <c r="C18" s="36">
        <v>1</v>
      </c>
      <c r="D18" s="36">
        <f t="shared" si="4"/>
        <v>2</v>
      </c>
      <c r="E18" s="36">
        <f>6/3</f>
        <v>2</v>
      </c>
      <c r="F18" s="38">
        <f t="shared" si="5"/>
        <v>4</v>
      </c>
      <c r="G18" s="36">
        <f t="shared" si="6"/>
        <v>0.2</v>
      </c>
      <c r="H18" s="36">
        <f t="shared" si="7"/>
        <v>0.4</v>
      </c>
      <c r="I18" s="39">
        <f t="shared" si="8"/>
        <v>580.03800000000001</v>
      </c>
      <c r="O18" s="43"/>
    </row>
    <row r="19" spans="1:15" ht="15.75" x14ac:dyDescent="0.25">
      <c r="A19" s="40" t="s">
        <v>71</v>
      </c>
      <c r="B19" s="33">
        <v>2</v>
      </c>
      <c r="C19" s="36">
        <v>1</v>
      </c>
      <c r="D19" s="36">
        <f t="shared" si="4"/>
        <v>2</v>
      </c>
      <c r="E19" s="36">
        <f>6/3</f>
        <v>2</v>
      </c>
      <c r="F19" s="38">
        <f t="shared" si="5"/>
        <v>4</v>
      </c>
      <c r="G19" s="36">
        <f t="shared" si="6"/>
        <v>0.2</v>
      </c>
      <c r="H19" s="36">
        <f t="shared" si="7"/>
        <v>0.4</v>
      </c>
      <c r="I19" s="39">
        <f t="shared" si="8"/>
        <v>580.03800000000001</v>
      </c>
      <c r="O19" s="43"/>
    </row>
    <row r="20" spans="1:15" ht="15.75" x14ac:dyDescent="0.25">
      <c r="A20" s="40" t="s">
        <v>72</v>
      </c>
      <c r="B20" s="33">
        <v>2</v>
      </c>
      <c r="C20" s="36">
        <v>1</v>
      </c>
      <c r="D20" s="36">
        <f t="shared" si="4"/>
        <v>2</v>
      </c>
      <c r="E20" s="36">
        <v>0</v>
      </c>
      <c r="F20" s="36">
        <f t="shared" si="5"/>
        <v>0</v>
      </c>
      <c r="G20" s="36">
        <f t="shared" si="6"/>
        <v>0</v>
      </c>
      <c r="H20" s="36">
        <f t="shared" si="7"/>
        <v>0</v>
      </c>
      <c r="I20" s="39">
        <f t="shared" si="8"/>
        <v>0</v>
      </c>
      <c r="O20" s="43"/>
    </row>
    <row r="21" spans="1:15" ht="15.75" x14ac:dyDescent="0.25">
      <c r="A21" s="40" t="s">
        <v>73</v>
      </c>
      <c r="B21" s="33">
        <v>2</v>
      </c>
      <c r="C21" s="36">
        <v>1</v>
      </c>
      <c r="D21" s="36">
        <f t="shared" si="4"/>
        <v>2</v>
      </c>
      <c r="E21" s="36">
        <v>0</v>
      </c>
      <c r="F21" s="36">
        <f t="shared" si="5"/>
        <v>0</v>
      </c>
      <c r="G21" s="36">
        <f t="shared" si="6"/>
        <v>0</v>
      </c>
      <c r="H21" s="36">
        <f t="shared" si="7"/>
        <v>0</v>
      </c>
      <c r="I21" s="39">
        <f t="shared" si="8"/>
        <v>0</v>
      </c>
      <c r="O21" s="43"/>
    </row>
    <row r="22" spans="1:15" ht="15.75" x14ac:dyDescent="0.25">
      <c r="A22" s="40" t="s">
        <v>74</v>
      </c>
      <c r="B22" s="33">
        <v>40</v>
      </c>
      <c r="C22" s="36">
        <v>1</v>
      </c>
      <c r="D22" s="36">
        <f>+B22*C22</f>
        <v>40</v>
      </c>
      <c r="E22" s="37">
        <f>8/3</f>
        <v>2.6666666666666665</v>
      </c>
      <c r="F22" s="38">
        <f>+D22*E22</f>
        <v>106.66666666666666</v>
      </c>
      <c r="G22" s="37">
        <f>+F22*0.05</f>
        <v>5.333333333333333</v>
      </c>
      <c r="H22" s="38">
        <f>+F22*0.1</f>
        <v>10.666666666666666</v>
      </c>
      <c r="I22" s="39">
        <f t="shared" si="8"/>
        <v>15467.679999999998</v>
      </c>
      <c r="O22" s="68"/>
    </row>
    <row r="23" spans="1:15" ht="15.75" x14ac:dyDescent="0.25">
      <c r="A23" s="40" t="s">
        <v>75</v>
      </c>
      <c r="B23" s="33">
        <v>8</v>
      </c>
      <c r="C23" s="33">
        <v>2</v>
      </c>
      <c r="D23" s="36">
        <f t="shared" ref="D23:D45" si="9">+B23*C23</f>
        <v>16</v>
      </c>
      <c r="E23" s="33">
        <f>0.8*8</f>
        <v>6.4</v>
      </c>
      <c r="F23" s="47">
        <f t="shared" ref="F23:F27" si="10">+D23*E23</f>
        <v>102.4</v>
      </c>
      <c r="G23" s="48">
        <f t="shared" ref="G23:G27" si="11">+F23*0.05</f>
        <v>5.120000000000001</v>
      </c>
      <c r="H23" s="47">
        <f t="shared" ref="H23:H27" si="12">+F23*0.1</f>
        <v>10.240000000000002</v>
      </c>
      <c r="I23" s="39">
        <f t="shared" si="8"/>
        <v>14848.9728</v>
      </c>
      <c r="O23" s="43"/>
    </row>
    <row r="24" spans="1:15" ht="15.75" x14ac:dyDescent="0.25">
      <c r="A24" s="40" t="s">
        <v>76</v>
      </c>
      <c r="B24" s="33">
        <v>16</v>
      </c>
      <c r="C24" s="33">
        <v>2</v>
      </c>
      <c r="D24" s="36">
        <f t="shared" si="9"/>
        <v>32</v>
      </c>
      <c r="E24" s="33">
        <f>0.2*8</f>
        <v>1.6</v>
      </c>
      <c r="F24" s="47">
        <f t="shared" si="10"/>
        <v>51.2</v>
      </c>
      <c r="G24" s="48">
        <f t="shared" si="11"/>
        <v>2.5600000000000005</v>
      </c>
      <c r="H24" s="48">
        <f t="shared" si="12"/>
        <v>5.120000000000001</v>
      </c>
      <c r="I24" s="39">
        <f t="shared" si="8"/>
        <v>7424.4863999999998</v>
      </c>
      <c r="O24" s="43"/>
    </row>
    <row r="25" spans="1:15" ht="15.75" x14ac:dyDescent="0.25">
      <c r="A25" s="40" t="s">
        <v>77</v>
      </c>
      <c r="B25" s="33">
        <v>303</v>
      </c>
      <c r="C25" s="33">
        <v>2</v>
      </c>
      <c r="D25" s="36">
        <f t="shared" si="9"/>
        <v>606</v>
      </c>
      <c r="E25" s="33">
        <v>3</v>
      </c>
      <c r="F25" s="49">
        <f t="shared" si="10"/>
        <v>1818</v>
      </c>
      <c r="G25" s="47">
        <f t="shared" si="11"/>
        <v>90.9</v>
      </c>
      <c r="H25" s="47">
        <f t="shared" si="12"/>
        <v>181.8</v>
      </c>
      <c r="I25" s="39">
        <f t="shared" si="8"/>
        <v>263627.27100000001</v>
      </c>
      <c r="O25" s="43"/>
    </row>
    <row r="26" spans="1:15" x14ac:dyDescent="0.25">
      <c r="A26" s="40" t="s">
        <v>78</v>
      </c>
      <c r="B26" s="33" t="s">
        <v>79</v>
      </c>
      <c r="C26" s="34"/>
      <c r="D26" s="36"/>
      <c r="E26" s="34"/>
      <c r="F26" s="34"/>
      <c r="G26" s="34"/>
      <c r="H26" s="34"/>
      <c r="I26" s="50"/>
      <c r="O26" s="43"/>
    </row>
    <row r="27" spans="1:15" ht="15.75" x14ac:dyDescent="0.25">
      <c r="A27" s="40" t="s">
        <v>80</v>
      </c>
      <c r="B27" s="33">
        <v>8</v>
      </c>
      <c r="C27" s="33">
        <v>2</v>
      </c>
      <c r="D27" s="36">
        <f t="shared" si="9"/>
        <v>16</v>
      </c>
      <c r="E27" s="33">
        <v>8</v>
      </c>
      <c r="F27" s="33">
        <f t="shared" si="10"/>
        <v>128</v>
      </c>
      <c r="G27" s="33">
        <f t="shared" si="11"/>
        <v>6.4</v>
      </c>
      <c r="H27" s="47">
        <f t="shared" si="12"/>
        <v>12.8</v>
      </c>
      <c r="I27" s="39">
        <f t="shared" si="8"/>
        <v>18561.216</v>
      </c>
      <c r="O27" s="43"/>
    </row>
    <row r="28" spans="1:15" x14ac:dyDescent="0.25">
      <c r="A28" s="51" t="s">
        <v>7</v>
      </c>
      <c r="B28" s="51"/>
      <c r="C28" s="51"/>
      <c r="D28" s="36"/>
      <c r="E28" s="51"/>
      <c r="F28" s="92">
        <f>SUM(F5:H27)</f>
        <v>2736.5400000000004</v>
      </c>
      <c r="G28" s="92"/>
      <c r="H28" s="92"/>
      <c r="I28" s="53">
        <f>SUM(I5:I27)</f>
        <v>345064.60620000004</v>
      </c>
      <c r="O28" s="69"/>
    </row>
    <row r="29" spans="1:15" x14ac:dyDescent="0.25">
      <c r="A29" s="32" t="s">
        <v>81</v>
      </c>
      <c r="B29" s="34"/>
      <c r="C29" s="34"/>
      <c r="D29" s="36"/>
      <c r="E29" s="34"/>
      <c r="F29" s="34"/>
      <c r="G29" s="34"/>
      <c r="H29" s="34"/>
      <c r="I29" s="34"/>
    </row>
    <row r="30" spans="1:15" x14ac:dyDescent="0.25">
      <c r="A30" s="35" t="s">
        <v>82</v>
      </c>
      <c r="B30" s="33" t="s">
        <v>83</v>
      </c>
      <c r="C30" s="34"/>
      <c r="D30" s="36"/>
      <c r="E30" s="34"/>
      <c r="F30" s="34"/>
      <c r="G30" s="34"/>
      <c r="H30" s="34"/>
      <c r="I30" s="34"/>
    </row>
    <row r="31" spans="1:15" x14ac:dyDescent="0.25">
      <c r="A31" s="35" t="s">
        <v>84</v>
      </c>
      <c r="B31" s="33" t="s">
        <v>56</v>
      </c>
      <c r="C31" s="34"/>
      <c r="D31" s="36"/>
      <c r="E31" s="34"/>
      <c r="F31" s="34"/>
      <c r="G31" s="34"/>
      <c r="H31" s="34"/>
      <c r="I31" s="34"/>
    </row>
    <row r="32" spans="1:15" x14ac:dyDescent="0.25">
      <c r="A32" s="35" t="s">
        <v>85</v>
      </c>
      <c r="B32" s="33" t="s">
        <v>56</v>
      </c>
      <c r="C32" s="34"/>
      <c r="D32" s="36"/>
      <c r="E32" s="34"/>
      <c r="F32" s="34"/>
      <c r="G32" s="34"/>
      <c r="H32" s="34"/>
      <c r="I32" s="34"/>
    </row>
    <row r="33" spans="1:9" x14ac:dyDescent="0.25">
      <c r="A33" s="35" t="s">
        <v>86</v>
      </c>
      <c r="B33" s="33" t="s">
        <v>56</v>
      </c>
      <c r="C33" s="34"/>
      <c r="D33" s="36"/>
      <c r="E33" s="34"/>
      <c r="F33" s="34"/>
      <c r="G33" s="34"/>
      <c r="H33" s="34"/>
      <c r="I33" s="34"/>
    </row>
    <row r="34" spans="1:9" x14ac:dyDescent="0.25">
      <c r="A34" s="35" t="s">
        <v>87</v>
      </c>
      <c r="B34" s="34"/>
      <c r="C34" s="34"/>
      <c r="D34" s="36"/>
      <c r="E34" s="34"/>
      <c r="F34" s="34"/>
      <c r="G34" s="34"/>
      <c r="H34" s="34"/>
      <c r="I34" s="34"/>
    </row>
    <row r="35" spans="1:9" ht="15.75" x14ac:dyDescent="0.25">
      <c r="A35" s="40" t="s">
        <v>88</v>
      </c>
      <c r="B35" s="33">
        <v>2</v>
      </c>
      <c r="C35" s="33">
        <v>12</v>
      </c>
      <c r="D35" s="36">
        <f t="shared" si="9"/>
        <v>24</v>
      </c>
      <c r="E35" s="33">
        <f>0.05*8</f>
        <v>0.4</v>
      </c>
      <c r="F35" s="49">
        <f t="shared" ref="F35" si="13">+D35*E35</f>
        <v>9.6000000000000014</v>
      </c>
      <c r="G35" s="48">
        <f t="shared" ref="G35:G45" si="14">+F35*0.05</f>
        <v>0.48000000000000009</v>
      </c>
      <c r="H35" s="48">
        <f t="shared" ref="H35" si="15">+F35*0.1</f>
        <v>0.96000000000000019</v>
      </c>
      <c r="I35" s="39">
        <f t="shared" ref="I35:I40" si="16">$M$7*F35+$M$6*G35+$M$8*H35</f>
        <v>1392.0912000000001</v>
      </c>
    </row>
    <row r="36" spans="1:9" ht="28.5" x14ac:dyDescent="0.25">
      <c r="A36" s="54" t="s">
        <v>89</v>
      </c>
      <c r="B36" s="33">
        <v>1</v>
      </c>
      <c r="C36" s="33">
        <v>365</v>
      </c>
      <c r="D36" s="36">
        <f>+B36*C36</f>
        <v>365</v>
      </c>
      <c r="E36" s="33">
        <v>8</v>
      </c>
      <c r="F36" s="49">
        <f>+D36*E36</f>
        <v>2920</v>
      </c>
      <c r="G36" s="33">
        <f>+F36*0.05</f>
        <v>146</v>
      </c>
      <c r="H36" s="33">
        <f>+F36*0.1</f>
        <v>292</v>
      </c>
      <c r="I36" s="39">
        <f t="shared" si="16"/>
        <v>423427.74</v>
      </c>
    </row>
    <row r="37" spans="1:9" ht="15.75" x14ac:dyDescent="0.25">
      <c r="A37" s="40" t="s">
        <v>90</v>
      </c>
      <c r="B37" s="33">
        <v>2</v>
      </c>
      <c r="C37" s="33">
        <v>2</v>
      </c>
      <c r="D37" s="36">
        <f t="shared" si="9"/>
        <v>4</v>
      </c>
      <c r="E37" s="33">
        <v>1</v>
      </c>
      <c r="F37" s="33">
        <f t="shared" ref="F37:F45" si="17">+D37*E37</f>
        <v>4</v>
      </c>
      <c r="G37" s="33">
        <f t="shared" si="14"/>
        <v>0.2</v>
      </c>
      <c r="H37" s="33">
        <f t="shared" ref="H37:H45" si="18">+F37*0.1</f>
        <v>0.4</v>
      </c>
      <c r="I37" s="39">
        <f t="shared" si="16"/>
        <v>580.03800000000001</v>
      </c>
    </row>
    <row r="38" spans="1:9" ht="15.75" x14ac:dyDescent="0.25">
      <c r="A38" s="40" t="s">
        <v>91</v>
      </c>
      <c r="B38" s="33">
        <v>2</v>
      </c>
      <c r="C38" s="33">
        <v>2</v>
      </c>
      <c r="D38" s="36">
        <f t="shared" si="9"/>
        <v>4</v>
      </c>
      <c r="E38" s="33">
        <v>5</v>
      </c>
      <c r="F38" s="33">
        <f t="shared" si="17"/>
        <v>20</v>
      </c>
      <c r="G38" s="33">
        <f t="shared" si="14"/>
        <v>1</v>
      </c>
      <c r="H38" s="33">
        <f t="shared" si="18"/>
        <v>2</v>
      </c>
      <c r="I38" s="39">
        <f t="shared" si="16"/>
        <v>2900.19</v>
      </c>
    </row>
    <row r="39" spans="1:9" ht="15.75" x14ac:dyDescent="0.25">
      <c r="A39" s="40" t="s">
        <v>92</v>
      </c>
      <c r="B39" s="33">
        <v>8</v>
      </c>
      <c r="C39" s="33">
        <v>2</v>
      </c>
      <c r="D39" s="36">
        <f t="shared" si="9"/>
        <v>16</v>
      </c>
      <c r="E39" s="33">
        <v>5</v>
      </c>
      <c r="F39" s="33">
        <f t="shared" si="17"/>
        <v>80</v>
      </c>
      <c r="G39" s="33">
        <f t="shared" si="14"/>
        <v>4</v>
      </c>
      <c r="H39" s="33">
        <f t="shared" si="18"/>
        <v>8</v>
      </c>
      <c r="I39" s="39">
        <f t="shared" si="16"/>
        <v>11600.76</v>
      </c>
    </row>
    <row r="40" spans="1:9" ht="15.75" x14ac:dyDescent="0.25">
      <c r="A40" s="40" t="s">
        <v>93</v>
      </c>
      <c r="B40" s="33">
        <v>8</v>
      </c>
      <c r="C40" s="33">
        <v>2</v>
      </c>
      <c r="D40" s="36">
        <f t="shared" si="9"/>
        <v>16</v>
      </c>
      <c r="E40" s="33">
        <v>8</v>
      </c>
      <c r="F40" s="33">
        <f t="shared" si="17"/>
        <v>128</v>
      </c>
      <c r="G40" s="33">
        <f t="shared" si="14"/>
        <v>6.4</v>
      </c>
      <c r="H40" s="47">
        <f t="shared" si="18"/>
        <v>12.8</v>
      </c>
      <c r="I40" s="39">
        <f t="shared" si="16"/>
        <v>18561.216</v>
      </c>
    </row>
    <row r="41" spans="1:9" x14ac:dyDescent="0.25">
      <c r="A41" s="40" t="s">
        <v>94</v>
      </c>
      <c r="B41" s="33" t="s">
        <v>95</v>
      </c>
      <c r="C41" s="34"/>
      <c r="D41" s="36"/>
      <c r="E41" s="34"/>
      <c r="F41" s="34"/>
      <c r="G41" s="34"/>
      <c r="H41" s="34"/>
      <c r="I41" s="50"/>
    </row>
    <row r="42" spans="1:9" x14ac:dyDescent="0.25">
      <c r="A42" s="40" t="s">
        <v>96</v>
      </c>
      <c r="B42" s="33" t="s">
        <v>95</v>
      </c>
      <c r="C42" s="34"/>
      <c r="D42" s="36"/>
      <c r="E42" s="34"/>
      <c r="F42" s="34"/>
      <c r="G42" s="34"/>
      <c r="H42" s="34"/>
      <c r="I42" s="50"/>
    </row>
    <row r="43" spans="1:9" x14ac:dyDescent="0.25">
      <c r="A43" s="35" t="s">
        <v>97</v>
      </c>
      <c r="B43" s="33"/>
      <c r="C43" s="34"/>
      <c r="D43" s="36"/>
      <c r="E43" s="34"/>
      <c r="F43" s="34"/>
      <c r="G43" s="34"/>
      <c r="H43" s="34"/>
      <c r="I43" s="50"/>
    </row>
    <row r="44" spans="1:9" ht="15.75" x14ac:dyDescent="0.25">
      <c r="A44" s="40" t="s">
        <v>98</v>
      </c>
      <c r="B44" s="33">
        <v>40</v>
      </c>
      <c r="C44" s="33">
        <v>1</v>
      </c>
      <c r="D44" s="36">
        <f t="shared" ref="D44" si="19">+B44*C44</f>
        <v>40</v>
      </c>
      <c r="E44" s="33">
        <v>0</v>
      </c>
      <c r="F44" s="33">
        <f t="shared" ref="F44" si="20">+D44*E44</f>
        <v>0</v>
      </c>
      <c r="G44" s="33">
        <f t="shared" ref="G44" si="21">+F44*0.05</f>
        <v>0</v>
      </c>
      <c r="H44" s="33">
        <f t="shared" ref="H44" si="22">+F44*0.1</f>
        <v>0</v>
      </c>
      <c r="I44" s="39">
        <f t="shared" ref="I44:I48" si="23">$M$7*F44+$M$6*G44+$M$8*H44</f>
        <v>0</v>
      </c>
    </row>
    <row r="45" spans="1:9" ht="15.75" x14ac:dyDescent="0.25">
      <c r="A45" s="40" t="s">
        <v>99</v>
      </c>
      <c r="B45" s="33">
        <v>16</v>
      </c>
      <c r="C45" s="33">
        <v>1</v>
      </c>
      <c r="D45" s="36">
        <f t="shared" si="9"/>
        <v>16</v>
      </c>
      <c r="E45" s="33">
        <v>8</v>
      </c>
      <c r="F45" s="33">
        <f t="shared" si="17"/>
        <v>128</v>
      </c>
      <c r="G45" s="33">
        <f t="shared" si="14"/>
        <v>6.4</v>
      </c>
      <c r="H45" s="47">
        <f t="shared" si="18"/>
        <v>12.8</v>
      </c>
      <c r="I45" s="39">
        <f t="shared" si="23"/>
        <v>18561.216</v>
      </c>
    </row>
    <row r="46" spans="1:9" ht="15.75" x14ac:dyDescent="0.25">
      <c r="A46" s="35" t="s">
        <v>100</v>
      </c>
      <c r="B46" s="33"/>
      <c r="C46" s="33"/>
      <c r="D46" s="36"/>
      <c r="E46" s="33"/>
      <c r="F46" s="33"/>
      <c r="G46" s="33"/>
      <c r="H46" s="33"/>
      <c r="I46" s="39"/>
    </row>
    <row r="47" spans="1:9" x14ac:dyDescent="0.25">
      <c r="A47" s="55" t="s">
        <v>101</v>
      </c>
      <c r="B47" s="33">
        <v>24</v>
      </c>
      <c r="C47" s="33">
        <v>2</v>
      </c>
      <c r="D47" s="36">
        <f>+B47*C47</f>
        <v>48</v>
      </c>
      <c r="E47" s="33">
        <v>8</v>
      </c>
      <c r="F47" s="33">
        <f>+D47*E47</f>
        <v>384</v>
      </c>
      <c r="G47" s="47">
        <f>+F47*0.05</f>
        <v>19.200000000000003</v>
      </c>
      <c r="H47" s="47">
        <f>+F47*0.1</f>
        <v>38.400000000000006</v>
      </c>
      <c r="I47" s="39">
        <f t="shared" si="23"/>
        <v>55683.648000000008</v>
      </c>
    </row>
    <row r="48" spans="1:9" x14ac:dyDescent="0.25">
      <c r="A48" s="55" t="s">
        <v>102</v>
      </c>
      <c r="B48" s="33">
        <v>16</v>
      </c>
      <c r="C48" s="33">
        <v>2</v>
      </c>
      <c r="D48" s="36">
        <f>+B48*C48</f>
        <v>32</v>
      </c>
      <c r="E48" s="33">
        <v>8</v>
      </c>
      <c r="F48" s="33">
        <f>+D48*E48</f>
        <v>256</v>
      </c>
      <c r="G48" s="47">
        <f>+F48*0.05</f>
        <v>12.8</v>
      </c>
      <c r="H48" s="47">
        <f>+F48*0.1</f>
        <v>25.6</v>
      </c>
      <c r="I48" s="39">
        <f t="shared" si="23"/>
        <v>37122.432000000001</v>
      </c>
    </row>
    <row r="49" spans="1:15" x14ac:dyDescent="0.25">
      <c r="A49" s="35" t="s">
        <v>103</v>
      </c>
      <c r="B49" s="33" t="s">
        <v>56</v>
      </c>
      <c r="C49" s="34"/>
      <c r="D49" s="34"/>
      <c r="E49" s="34"/>
      <c r="F49" s="34"/>
      <c r="G49" s="34"/>
      <c r="H49" s="34"/>
      <c r="I49" s="34"/>
    </row>
    <row r="50" spans="1:15" x14ac:dyDescent="0.25">
      <c r="A50" s="51" t="s">
        <v>104</v>
      </c>
      <c r="B50" s="51"/>
      <c r="C50" s="51"/>
      <c r="D50" s="51"/>
      <c r="E50" s="51"/>
      <c r="F50" s="92">
        <f>ROUND(SUM(F29:H49),0)</f>
        <v>4519</v>
      </c>
      <c r="G50" s="92"/>
      <c r="H50" s="92"/>
      <c r="I50" s="53">
        <f>SUM(I29:I49)</f>
        <v>569829.33120000013</v>
      </c>
      <c r="O50" s="43"/>
    </row>
    <row r="51" spans="1:15" ht="15.75" x14ac:dyDescent="0.25">
      <c r="A51" s="51" t="s">
        <v>189</v>
      </c>
      <c r="B51" s="51"/>
      <c r="C51" s="51"/>
      <c r="D51" s="51"/>
      <c r="E51" s="51"/>
      <c r="F51" s="92">
        <f>F28+F50</f>
        <v>7255.5400000000009</v>
      </c>
      <c r="G51" s="92"/>
      <c r="H51" s="92"/>
      <c r="I51" s="53">
        <f>I28+I50</f>
        <v>914893.93740000017</v>
      </c>
      <c r="N51" t="s">
        <v>178</v>
      </c>
      <c r="O51" s="75">
        <f>F51/Responses!E12</f>
        <v>143.10729783037476</v>
      </c>
    </row>
    <row r="52" spans="1:15" ht="15.75" x14ac:dyDescent="0.25">
      <c r="A52" s="51" t="s">
        <v>188</v>
      </c>
      <c r="B52" s="51"/>
      <c r="C52" s="51"/>
      <c r="D52" s="51"/>
      <c r="E52" s="51"/>
      <c r="F52" s="52"/>
      <c r="G52" s="52"/>
      <c r="H52" s="52"/>
      <c r="I52" s="53">
        <f>'Capital O&amp;M'!I11</f>
        <v>163533.33333333334</v>
      </c>
    </row>
    <row r="53" spans="1:15" ht="15.75" x14ac:dyDescent="0.25">
      <c r="A53" s="51" t="s">
        <v>187</v>
      </c>
      <c r="B53" s="51"/>
      <c r="C53" s="51"/>
      <c r="D53" s="51"/>
      <c r="E53" s="51"/>
      <c r="F53" s="52"/>
      <c r="G53" s="52"/>
      <c r="H53" s="52"/>
      <c r="I53" s="53">
        <f>I51+I52</f>
        <v>1078427.2707333334</v>
      </c>
    </row>
    <row r="55" spans="1:15" x14ac:dyDescent="0.25">
      <c r="A55" s="56" t="s">
        <v>8</v>
      </c>
    </row>
    <row r="56" spans="1:15" ht="30.75" customHeight="1" x14ac:dyDescent="0.25">
      <c r="A56" s="87" t="s">
        <v>105</v>
      </c>
      <c r="B56" s="87"/>
      <c r="C56" s="87"/>
      <c r="D56" s="87"/>
      <c r="E56" s="87"/>
      <c r="F56" s="87"/>
      <c r="G56" s="87"/>
      <c r="H56" s="87"/>
      <c r="I56" s="87"/>
    </row>
    <row r="57" spans="1:15" ht="64.5" customHeight="1" x14ac:dyDescent="0.25">
      <c r="A57" s="85" t="s">
        <v>176</v>
      </c>
      <c r="B57" s="86"/>
      <c r="C57" s="86"/>
      <c r="D57" s="86"/>
      <c r="E57" s="86"/>
      <c r="F57" s="86"/>
      <c r="G57" s="86"/>
      <c r="H57" s="86"/>
      <c r="I57" s="86"/>
    </row>
    <row r="58" spans="1:15" ht="30.75" customHeight="1" x14ac:dyDescent="0.25">
      <c r="A58" s="88" t="s">
        <v>180</v>
      </c>
      <c r="B58" s="88"/>
      <c r="C58" s="88"/>
      <c r="D58" s="88"/>
      <c r="E58" s="88"/>
      <c r="F58" s="88"/>
      <c r="G58" s="88"/>
      <c r="H58" s="88"/>
      <c r="I58" s="88"/>
    </row>
    <row r="59" spans="1:15" ht="33.75" customHeight="1" x14ac:dyDescent="0.25">
      <c r="A59" s="89" t="s">
        <v>106</v>
      </c>
      <c r="B59" s="89"/>
      <c r="C59" s="89"/>
      <c r="D59" s="89"/>
      <c r="E59" s="89"/>
      <c r="F59" s="89"/>
      <c r="G59" s="89"/>
      <c r="H59" s="89"/>
      <c r="I59" s="89"/>
    </row>
    <row r="60" spans="1:15" ht="15.75" customHeight="1" x14ac:dyDescent="0.25">
      <c r="A60" s="90" t="s">
        <v>107</v>
      </c>
      <c r="B60" s="90"/>
      <c r="C60" s="90"/>
      <c r="D60" s="90"/>
      <c r="E60" s="90"/>
      <c r="F60" s="90"/>
      <c r="G60" s="90"/>
      <c r="H60" s="90"/>
      <c r="I60" s="90"/>
      <c r="J60" s="57"/>
      <c r="K60" s="57"/>
      <c r="L60" s="57"/>
    </row>
    <row r="61" spans="1:15" ht="15.75" customHeight="1" x14ac:dyDescent="0.25">
      <c r="A61" s="83" t="s">
        <v>108</v>
      </c>
      <c r="B61" s="83"/>
      <c r="C61" s="83"/>
      <c r="D61" s="83"/>
      <c r="E61" s="83"/>
      <c r="F61" s="83"/>
      <c r="G61" s="83"/>
      <c r="H61" s="83"/>
      <c r="I61" s="83"/>
      <c r="J61" s="57"/>
      <c r="K61" s="57"/>
      <c r="L61" s="57"/>
    </row>
    <row r="62" spans="1:15" ht="53.25" customHeight="1" x14ac:dyDescent="0.25">
      <c r="A62" s="83" t="s">
        <v>109</v>
      </c>
      <c r="B62" s="83"/>
      <c r="C62" s="83"/>
      <c r="D62" s="83"/>
      <c r="E62" s="83"/>
      <c r="F62" s="83"/>
      <c r="G62" s="83"/>
      <c r="H62" s="83"/>
      <c r="I62" s="83"/>
      <c r="J62" s="57"/>
      <c r="K62" s="57"/>
      <c r="L62" s="57"/>
    </row>
    <row r="63" spans="1:15" ht="15.75" customHeight="1" x14ac:dyDescent="0.25">
      <c r="A63" s="83" t="s">
        <v>110</v>
      </c>
      <c r="B63" s="83"/>
      <c r="C63" s="83"/>
      <c r="D63" s="83"/>
      <c r="E63" s="83"/>
      <c r="F63" s="83"/>
      <c r="G63" s="83"/>
      <c r="H63" s="83"/>
      <c r="I63" s="83"/>
    </row>
    <row r="64" spans="1:15" ht="15.75" customHeight="1" x14ac:dyDescent="0.25">
      <c r="A64" s="82" t="s">
        <v>111</v>
      </c>
      <c r="B64" s="82"/>
      <c r="C64" s="82"/>
      <c r="D64" s="82"/>
      <c r="E64" s="82"/>
      <c r="F64" s="82"/>
      <c r="G64" s="82"/>
      <c r="H64" s="82"/>
      <c r="I64" s="82"/>
    </row>
    <row r="65" spans="1:9" ht="15.75" customHeight="1" x14ac:dyDescent="0.25">
      <c r="A65" s="82" t="s">
        <v>112</v>
      </c>
      <c r="B65" s="82"/>
      <c r="C65" s="82"/>
      <c r="D65" s="82"/>
      <c r="E65" s="82"/>
      <c r="F65" s="82"/>
      <c r="G65" s="82"/>
      <c r="H65" s="82"/>
      <c r="I65" s="82"/>
    </row>
    <row r="66" spans="1:9" ht="18.75" x14ac:dyDescent="0.25">
      <c r="A66" s="82" t="s">
        <v>113</v>
      </c>
      <c r="B66" s="82"/>
      <c r="C66" s="82"/>
      <c r="D66" s="82"/>
      <c r="E66" s="82"/>
      <c r="F66" s="82"/>
      <c r="G66" s="82"/>
      <c r="H66" s="82"/>
      <c r="I66" s="82"/>
    </row>
    <row r="67" spans="1:9" ht="32.25" customHeight="1" x14ac:dyDescent="0.25">
      <c r="A67" s="82" t="s">
        <v>114</v>
      </c>
      <c r="B67" s="82"/>
      <c r="C67" s="82"/>
      <c r="D67" s="82"/>
      <c r="E67" s="82"/>
      <c r="F67" s="82"/>
      <c r="G67" s="82"/>
      <c r="H67" s="82"/>
      <c r="I67" s="82"/>
    </row>
    <row r="68" spans="1:9" ht="33" customHeight="1" x14ac:dyDescent="0.25">
      <c r="A68" s="82" t="s">
        <v>183</v>
      </c>
      <c r="B68" s="82"/>
      <c r="C68" s="82"/>
      <c r="D68" s="82"/>
      <c r="E68" s="82"/>
      <c r="F68" s="82"/>
      <c r="G68" s="82"/>
      <c r="H68" s="82"/>
      <c r="I68" s="82"/>
    </row>
    <row r="69" spans="1:9" ht="15.75" customHeight="1" x14ac:dyDescent="0.25">
      <c r="A69" s="82" t="s">
        <v>115</v>
      </c>
      <c r="B69" s="82"/>
      <c r="C69" s="82"/>
      <c r="D69" s="82"/>
      <c r="E69" s="82"/>
      <c r="F69" s="82"/>
      <c r="G69" s="82"/>
      <c r="H69" s="82"/>
      <c r="I69" s="82"/>
    </row>
    <row r="70" spans="1:9" ht="15.75" customHeight="1" x14ac:dyDescent="0.25">
      <c r="A70" s="82" t="s">
        <v>116</v>
      </c>
      <c r="B70" s="82"/>
      <c r="C70" s="82"/>
      <c r="D70" s="82"/>
      <c r="E70" s="82"/>
      <c r="F70" s="82"/>
      <c r="G70" s="82"/>
      <c r="H70" s="82"/>
      <c r="I70" s="82"/>
    </row>
    <row r="71" spans="1:9" ht="15.75" customHeight="1" x14ac:dyDescent="0.25">
      <c r="A71" s="84" t="s">
        <v>117</v>
      </c>
      <c r="B71" s="84"/>
      <c r="C71" s="84"/>
      <c r="D71" s="84"/>
      <c r="E71" s="84"/>
      <c r="F71" s="84"/>
      <c r="G71" s="84"/>
      <c r="H71" s="84"/>
      <c r="I71" s="84"/>
    </row>
    <row r="72" spans="1:9" ht="15.75" customHeight="1" x14ac:dyDescent="0.25">
      <c r="A72" s="84" t="s">
        <v>118</v>
      </c>
      <c r="B72" s="84"/>
      <c r="C72" s="84"/>
      <c r="D72" s="84"/>
      <c r="E72" s="84"/>
      <c r="F72" s="84"/>
      <c r="G72" s="84"/>
      <c r="H72" s="84"/>
      <c r="I72" s="84"/>
    </row>
    <row r="73" spans="1:9" ht="15.75" customHeight="1" x14ac:dyDescent="0.25">
      <c r="A73" s="84" t="s">
        <v>119</v>
      </c>
      <c r="B73" s="84"/>
      <c r="C73" s="84"/>
      <c r="D73" s="84"/>
      <c r="E73" s="84"/>
      <c r="F73" s="84"/>
      <c r="G73" s="84"/>
      <c r="H73" s="84"/>
      <c r="I73" s="84"/>
    </row>
    <row r="74" spans="1:9" ht="15.75" customHeight="1" x14ac:dyDescent="0.25">
      <c r="A74" s="84" t="s">
        <v>120</v>
      </c>
      <c r="B74" s="84"/>
      <c r="C74" s="84"/>
      <c r="D74" s="84"/>
      <c r="E74" s="84"/>
      <c r="F74" s="84"/>
      <c r="G74" s="84"/>
      <c r="H74" s="84"/>
      <c r="I74" s="84"/>
    </row>
    <row r="75" spans="1:9" ht="15.75" customHeight="1" x14ac:dyDescent="0.25">
      <c r="A75" s="84" t="s">
        <v>121</v>
      </c>
      <c r="B75" s="84"/>
      <c r="C75" s="84"/>
      <c r="D75" s="84"/>
      <c r="E75" s="84"/>
      <c r="F75" s="84"/>
      <c r="G75" s="84"/>
      <c r="H75" s="84"/>
      <c r="I75" s="84"/>
    </row>
    <row r="76" spans="1:9" ht="15.75" customHeight="1" x14ac:dyDescent="0.25">
      <c r="A76" s="82" t="s">
        <v>122</v>
      </c>
      <c r="B76" s="82"/>
      <c r="C76" s="82"/>
      <c r="D76" s="82"/>
      <c r="E76" s="82"/>
      <c r="F76" s="82"/>
      <c r="G76" s="82"/>
      <c r="H76" s="82"/>
      <c r="I76" s="82"/>
    </row>
    <row r="77" spans="1:9" ht="15.75" customHeight="1" x14ac:dyDescent="0.25">
      <c r="A77" s="81"/>
      <c r="B77" s="81"/>
      <c r="C77" s="81"/>
      <c r="D77" s="81"/>
      <c r="E77" s="81"/>
      <c r="F77" s="81"/>
      <c r="G77" s="81"/>
      <c r="H77" s="81"/>
      <c r="I77" s="81"/>
    </row>
  </sheetData>
  <mergeCells count="27">
    <mergeCell ref="A3:A4"/>
    <mergeCell ref="F28:H28"/>
    <mergeCell ref="F50:H50"/>
    <mergeCell ref="F51:H51"/>
    <mergeCell ref="L5:M5"/>
    <mergeCell ref="A70:I70"/>
    <mergeCell ref="A57:I57"/>
    <mergeCell ref="A56:I56"/>
    <mergeCell ref="A58:I58"/>
    <mergeCell ref="A59:I59"/>
    <mergeCell ref="A60:I60"/>
    <mergeCell ref="A77:I77"/>
    <mergeCell ref="A76:I76"/>
    <mergeCell ref="A61:I61"/>
    <mergeCell ref="A63:I63"/>
    <mergeCell ref="A64:I64"/>
    <mergeCell ref="A65:I65"/>
    <mergeCell ref="A66:I66"/>
    <mergeCell ref="A71:I71"/>
    <mergeCell ref="A72:I72"/>
    <mergeCell ref="A73:I73"/>
    <mergeCell ref="A74:I74"/>
    <mergeCell ref="A75:I75"/>
    <mergeCell ref="A62:I62"/>
    <mergeCell ref="A67:I67"/>
    <mergeCell ref="A68:I68"/>
    <mergeCell ref="A69:I6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7483-13D9-4A34-9F86-2355DB000DD9}">
  <dimension ref="A1:M37"/>
  <sheetViews>
    <sheetView tabSelected="1" topLeftCell="A8" workbookViewId="0">
      <selection activeCell="F22" sqref="F22:H22"/>
    </sheetView>
  </sheetViews>
  <sheetFormatPr defaultRowHeight="15" x14ac:dyDescent="0.25"/>
  <cols>
    <col min="1" max="1" width="42.85546875" customWidth="1"/>
    <col min="2" max="2" width="10.140625" customWidth="1"/>
    <col min="3" max="3" width="10.42578125" customWidth="1"/>
    <col min="7" max="7" width="11.140625" customWidth="1"/>
    <col min="9" max="9" width="10.5703125" customWidth="1"/>
  </cols>
  <sheetData>
    <row r="1" spans="1:13" ht="15.75" x14ac:dyDescent="0.25">
      <c r="A1" s="30" t="s">
        <v>181</v>
      </c>
    </row>
    <row r="2" spans="1:13" x14ac:dyDescent="0.25">
      <c r="F2" s="72"/>
      <c r="G2" s="72"/>
      <c r="H2" s="72"/>
      <c r="I2" s="73"/>
    </row>
    <row r="3" spans="1:13" ht="15" customHeight="1" x14ac:dyDescent="0.25">
      <c r="A3" s="96" t="s">
        <v>123</v>
      </c>
      <c r="B3" s="17" t="s">
        <v>124</v>
      </c>
      <c r="C3" s="17" t="s">
        <v>125</v>
      </c>
      <c r="D3" s="17" t="s">
        <v>126</v>
      </c>
      <c r="E3" s="17" t="s">
        <v>42</v>
      </c>
      <c r="F3" s="17" t="s">
        <v>43</v>
      </c>
      <c r="G3" s="17" t="s">
        <v>44</v>
      </c>
      <c r="H3" s="17" t="s">
        <v>45</v>
      </c>
      <c r="I3" s="17" t="s">
        <v>46</v>
      </c>
    </row>
    <row r="4" spans="1:13" ht="76.5" x14ac:dyDescent="0.25">
      <c r="A4" s="96"/>
      <c r="B4" s="17" t="s">
        <v>127</v>
      </c>
      <c r="C4" s="17" t="s">
        <v>128</v>
      </c>
      <c r="D4" s="17" t="s">
        <v>129</v>
      </c>
      <c r="E4" s="17" t="s">
        <v>130</v>
      </c>
      <c r="F4" s="17" t="s">
        <v>131</v>
      </c>
      <c r="G4" s="17" t="s">
        <v>132</v>
      </c>
      <c r="H4" s="17" t="s">
        <v>133</v>
      </c>
      <c r="I4" s="17" t="s">
        <v>134</v>
      </c>
    </row>
    <row r="5" spans="1:13" x14ac:dyDescent="0.25">
      <c r="A5" s="32" t="s">
        <v>123</v>
      </c>
      <c r="B5" s="33"/>
      <c r="C5" s="33"/>
      <c r="D5" s="33"/>
      <c r="E5" s="33"/>
      <c r="F5" s="33"/>
      <c r="G5" s="33"/>
      <c r="H5" s="33"/>
      <c r="I5" s="58"/>
      <c r="L5" s="93" t="s">
        <v>171</v>
      </c>
      <c r="M5" s="93"/>
    </row>
    <row r="6" spans="1:13" ht="15.75" x14ac:dyDescent="0.25">
      <c r="A6" s="35" t="s">
        <v>135</v>
      </c>
      <c r="B6" s="33">
        <v>24</v>
      </c>
      <c r="C6" s="33">
        <v>1</v>
      </c>
      <c r="D6" s="33">
        <f>+B6*C6</f>
        <v>24</v>
      </c>
      <c r="E6" s="33">
        <f>0.1*6/3</f>
        <v>0.20000000000000004</v>
      </c>
      <c r="F6" s="33">
        <f>+D6*E6</f>
        <v>4.8000000000000007</v>
      </c>
      <c r="G6" s="48">
        <f>+F6*0.05</f>
        <v>0.24000000000000005</v>
      </c>
      <c r="H6" s="48">
        <f>+F6*0.1</f>
        <v>0.48000000000000009</v>
      </c>
      <c r="I6" s="39">
        <f>$M$7*F6+$M$6*G6+$M$8*H6</f>
        <v>293.43840000000006</v>
      </c>
      <c r="L6" s="70" t="s">
        <v>172</v>
      </c>
      <c r="M6" s="71">
        <v>73.459999999999994</v>
      </c>
    </row>
    <row r="7" spans="1:13" ht="15.75" x14ac:dyDescent="0.25">
      <c r="A7" s="35" t="s">
        <v>136</v>
      </c>
      <c r="B7" s="33">
        <v>120</v>
      </c>
      <c r="C7" s="33">
        <v>1</v>
      </c>
      <c r="D7" s="33">
        <f>+B7*C7</f>
        <v>120</v>
      </c>
      <c r="E7" s="33">
        <f>0.1*0.1*6</f>
        <v>6.0000000000000012E-2</v>
      </c>
      <c r="F7" s="33">
        <f>+D7*E7</f>
        <v>7.2000000000000011</v>
      </c>
      <c r="G7" s="48">
        <f>+F7*0.05</f>
        <v>0.3600000000000001</v>
      </c>
      <c r="H7" s="48">
        <f>+F7*0.1</f>
        <v>0.7200000000000002</v>
      </c>
      <c r="I7" s="39">
        <f>$M$7*F7+$M$6*G7+$M$8*H7</f>
        <v>440.15760000000006</v>
      </c>
      <c r="L7" s="70" t="s">
        <v>175</v>
      </c>
      <c r="M7" s="71">
        <v>54.51</v>
      </c>
    </row>
    <row r="8" spans="1:13" x14ac:dyDescent="0.25">
      <c r="A8" s="32" t="s">
        <v>137</v>
      </c>
      <c r="B8" s="33"/>
      <c r="C8" s="33"/>
      <c r="D8" s="33"/>
      <c r="E8" s="33"/>
      <c r="F8" s="33"/>
      <c r="G8" s="33"/>
      <c r="H8" s="33"/>
      <c r="I8" s="58"/>
      <c r="L8" s="70" t="s">
        <v>174</v>
      </c>
      <c r="M8" s="71">
        <v>29.5</v>
      </c>
    </row>
    <row r="9" spans="1:13" ht="15.75" x14ac:dyDescent="0.25">
      <c r="A9" s="35" t="s">
        <v>138</v>
      </c>
      <c r="B9" s="33">
        <v>2</v>
      </c>
      <c r="C9" s="33">
        <v>1</v>
      </c>
      <c r="D9" s="33">
        <f t="shared" ref="D9:D16" si="0">+B9*C9</f>
        <v>2</v>
      </c>
      <c r="E9" s="33">
        <v>0</v>
      </c>
      <c r="F9" s="33">
        <f t="shared" ref="F9:F16" si="1">+D9*E9</f>
        <v>0</v>
      </c>
      <c r="G9" s="33">
        <f t="shared" ref="G9:G16" si="2">+F9*0.05</f>
        <v>0</v>
      </c>
      <c r="H9" s="33">
        <f t="shared" ref="H9:H16" si="3">+F9*0.1</f>
        <v>0</v>
      </c>
      <c r="I9" s="39">
        <f>$M$7*F9+$M$6*G9+$M$8*H9</f>
        <v>0</v>
      </c>
    </row>
    <row r="10" spans="1:13" ht="15.75" x14ac:dyDescent="0.25">
      <c r="A10" s="35" t="s">
        <v>139</v>
      </c>
      <c r="B10" s="33">
        <v>2</v>
      </c>
      <c r="C10" s="33">
        <v>1</v>
      </c>
      <c r="D10" s="33">
        <f t="shared" si="0"/>
        <v>2</v>
      </c>
      <c r="E10" s="33">
        <v>0</v>
      </c>
      <c r="F10" s="33">
        <f t="shared" si="1"/>
        <v>0</v>
      </c>
      <c r="G10" s="33">
        <f t="shared" si="2"/>
        <v>0</v>
      </c>
      <c r="H10" s="33">
        <f t="shared" si="3"/>
        <v>0</v>
      </c>
      <c r="I10" s="39">
        <f t="shared" ref="I10:I21" si="4">$M$7*F10+$M$6*G10+$M$8*H10</f>
        <v>0</v>
      </c>
    </row>
    <row r="11" spans="1:13" ht="15.75" x14ac:dyDescent="0.25">
      <c r="A11" s="35" t="s">
        <v>140</v>
      </c>
      <c r="B11" s="33">
        <v>2</v>
      </c>
      <c r="C11" s="33">
        <v>1</v>
      </c>
      <c r="D11" s="33">
        <f t="shared" si="0"/>
        <v>2</v>
      </c>
      <c r="E11" s="33">
        <v>0</v>
      </c>
      <c r="F11" s="33">
        <f t="shared" si="1"/>
        <v>0</v>
      </c>
      <c r="G11" s="33">
        <f t="shared" si="2"/>
        <v>0</v>
      </c>
      <c r="H11" s="33">
        <f t="shared" si="3"/>
        <v>0</v>
      </c>
      <c r="I11" s="39">
        <f t="shared" si="4"/>
        <v>0</v>
      </c>
    </row>
    <row r="12" spans="1:13" ht="15.75" x14ac:dyDescent="0.25">
      <c r="A12" s="35" t="s">
        <v>141</v>
      </c>
      <c r="B12" s="33">
        <v>2</v>
      </c>
      <c r="C12" s="33">
        <v>1</v>
      </c>
      <c r="D12" s="33">
        <f t="shared" si="0"/>
        <v>2</v>
      </c>
      <c r="E12" s="33">
        <f>6/3</f>
        <v>2</v>
      </c>
      <c r="F12" s="33">
        <f t="shared" si="1"/>
        <v>4</v>
      </c>
      <c r="G12" s="33">
        <f t="shared" si="2"/>
        <v>0.2</v>
      </c>
      <c r="H12" s="33">
        <f t="shared" si="3"/>
        <v>0.4</v>
      </c>
      <c r="I12" s="39">
        <f t="shared" si="4"/>
        <v>244.53200000000001</v>
      </c>
    </row>
    <row r="13" spans="1:13" ht="15.75" x14ac:dyDescent="0.25">
      <c r="A13" s="35" t="s">
        <v>142</v>
      </c>
      <c r="B13" s="33">
        <v>2</v>
      </c>
      <c r="C13" s="33">
        <v>1</v>
      </c>
      <c r="D13" s="33">
        <f t="shared" si="0"/>
        <v>2</v>
      </c>
      <c r="E13" s="33">
        <f>6/3</f>
        <v>2</v>
      </c>
      <c r="F13" s="33">
        <f t="shared" si="1"/>
        <v>4</v>
      </c>
      <c r="G13" s="33">
        <f t="shared" si="2"/>
        <v>0.2</v>
      </c>
      <c r="H13" s="33">
        <f t="shared" si="3"/>
        <v>0.4</v>
      </c>
      <c r="I13" s="39">
        <f t="shared" si="4"/>
        <v>244.53200000000001</v>
      </c>
    </row>
    <row r="14" spans="1:13" ht="15.75" x14ac:dyDescent="0.25">
      <c r="A14" s="35" t="s">
        <v>143</v>
      </c>
      <c r="B14" s="33">
        <v>4</v>
      </c>
      <c r="C14" s="33">
        <v>1</v>
      </c>
      <c r="D14" s="33">
        <f t="shared" si="0"/>
        <v>4</v>
      </c>
      <c r="E14" s="48">
        <f>8/3</f>
        <v>2.6666666666666665</v>
      </c>
      <c r="F14" s="47">
        <f t="shared" si="1"/>
        <v>10.666666666666666</v>
      </c>
      <c r="G14" s="48">
        <f t="shared" si="2"/>
        <v>0.53333333333333333</v>
      </c>
      <c r="H14" s="48">
        <f t="shared" si="3"/>
        <v>1.0666666666666667</v>
      </c>
      <c r="I14" s="39">
        <f t="shared" si="4"/>
        <v>652.08533333333332</v>
      </c>
    </row>
    <row r="15" spans="1:13" ht="15.75" x14ac:dyDescent="0.25">
      <c r="A15" s="35" t="s">
        <v>144</v>
      </c>
      <c r="B15" s="33">
        <v>8</v>
      </c>
      <c r="C15" s="33">
        <v>1</v>
      </c>
      <c r="D15" s="33">
        <f t="shared" si="0"/>
        <v>8</v>
      </c>
      <c r="E15" s="33">
        <f>6/3</f>
        <v>2</v>
      </c>
      <c r="F15" s="33">
        <f t="shared" si="1"/>
        <v>16</v>
      </c>
      <c r="G15" s="33">
        <f t="shared" si="2"/>
        <v>0.8</v>
      </c>
      <c r="H15" s="33">
        <f t="shared" si="3"/>
        <v>1.6</v>
      </c>
      <c r="I15" s="39">
        <f t="shared" si="4"/>
        <v>978.12800000000004</v>
      </c>
    </row>
    <row r="16" spans="1:13" ht="15.75" x14ac:dyDescent="0.25">
      <c r="A16" s="35" t="s">
        <v>145</v>
      </c>
      <c r="B16" s="33">
        <v>8</v>
      </c>
      <c r="C16" s="33">
        <v>1</v>
      </c>
      <c r="D16" s="33">
        <f t="shared" si="0"/>
        <v>8</v>
      </c>
      <c r="E16" s="33">
        <f>6/3</f>
        <v>2</v>
      </c>
      <c r="F16" s="33">
        <f t="shared" si="1"/>
        <v>16</v>
      </c>
      <c r="G16" s="33">
        <f t="shared" si="2"/>
        <v>0.8</v>
      </c>
      <c r="H16" s="33">
        <f t="shared" si="3"/>
        <v>1.6</v>
      </c>
      <c r="I16" s="39">
        <f t="shared" si="4"/>
        <v>978.12800000000004</v>
      </c>
    </row>
    <row r="17" spans="1:9" ht="15.75" x14ac:dyDescent="0.25">
      <c r="A17" s="35" t="s">
        <v>75</v>
      </c>
      <c r="B17" s="33">
        <v>2</v>
      </c>
      <c r="C17" s="33">
        <v>2</v>
      </c>
      <c r="D17" s="33">
        <f>+B17*C17</f>
        <v>4</v>
      </c>
      <c r="E17" s="33">
        <f>0.8*8</f>
        <v>6.4</v>
      </c>
      <c r="F17" s="47">
        <f>+D17*E17</f>
        <v>25.6</v>
      </c>
      <c r="G17" s="48">
        <f>+F17*0.05</f>
        <v>1.2800000000000002</v>
      </c>
      <c r="H17" s="48">
        <f>+F17*0.1</f>
        <v>2.5600000000000005</v>
      </c>
      <c r="I17" s="39">
        <f t="shared" si="4"/>
        <v>1565.0048000000002</v>
      </c>
    </row>
    <row r="18" spans="1:9" ht="15.75" x14ac:dyDescent="0.25">
      <c r="A18" s="35" t="s">
        <v>76</v>
      </c>
      <c r="B18" s="33">
        <v>8</v>
      </c>
      <c r="C18" s="33">
        <v>2</v>
      </c>
      <c r="D18" s="33">
        <f t="shared" ref="D18:D21" si="5">+B18*C18</f>
        <v>16</v>
      </c>
      <c r="E18" s="33">
        <f>0.2*8</f>
        <v>1.6</v>
      </c>
      <c r="F18" s="47">
        <f t="shared" ref="F18:F21" si="6">+D18*E18</f>
        <v>25.6</v>
      </c>
      <c r="G18" s="48">
        <f t="shared" ref="G18:G21" si="7">+F18*0.05</f>
        <v>1.2800000000000002</v>
      </c>
      <c r="H18" s="48">
        <f t="shared" ref="H18:H21" si="8">+F18*0.1</f>
        <v>2.5600000000000005</v>
      </c>
      <c r="I18" s="39">
        <f t="shared" si="4"/>
        <v>1565.0048000000002</v>
      </c>
    </row>
    <row r="19" spans="1:9" ht="15.75" x14ac:dyDescent="0.25">
      <c r="A19" s="35" t="s">
        <v>77</v>
      </c>
      <c r="B19" s="33">
        <v>8</v>
      </c>
      <c r="C19" s="33">
        <v>2</v>
      </c>
      <c r="D19" s="33">
        <f t="shared" si="5"/>
        <v>16</v>
      </c>
      <c r="E19" s="33">
        <v>3</v>
      </c>
      <c r="F19" s="33">
        <f t="shared" si="6"/>
        <v>48</v>
      </c>
      <c r="G19" s="33">
        <f t="shared" si="7"/>
        <v>2.4000000000000004</v>
      </c>
      <c r="H19" s="33">
        <f t="shared" si="8"/>
        <v>4.8000000000000007</v>
      </c>
      <c r="I19" s="39">
        <f t="shared" si="4"/>
        <v>2934.384</v>
      </c>
    </row>
    <row r="20" spans="1:9" ht="15.75" x14ac:dyDescent="0.25">
      <c r="A20" s="35" t="s">
        <v>146</v>
      </c>
      <c r="B20" s="33">
        <v>8</v>
      </c>
      <c r="C20" s="33">
        <v>2</v>
      </c>
      <c r="D20" s="33">
        <f t="shared" si="5"/>
        <v>16</v>
      </c>
      <c r="E20" s="33">
        <v>3</v>
      </c>
      <c r="F20" s="33">
        <f t="shared" si="6"/>
        <v>48</v>
      </c>
      <c r="G20" s="33">
        <f t="shared" si="7"/>
        <v>2.4000000000000004</v>
      </c>
      <c r="H20" s="33">
        <f t="shared" si="8"/>
        <v>4.8000000000000007</v>
      </c>
      <c r="I20" s="39">
        <f t="shared" si="4"/>
        <v>2934.384</v>
      </c>
    </row>
    <row r="21" spans="1:9" ht="15.75" x14ac:dyDescent="0.25">
      <c r="A21" s="35" t="s">
        <v>147</v>
      </c>
      <c r="B21" s="33">
        <v>2</v>
      </c>
      <c r="C21" s="33">
        <v>2</v>
      </c>
      <c r="D21" s="33">
        <f t="shared" si="5"/>
        <v>4</v>
      </c>
      <c r="E21" s="33">
        <v>8</v>
      </c>
      <c r="F21" s="33">
        <f t="shared" si="6"/>
        <v>32</v>
      </c>
      <c r="G21" s="33">
        <f t="shared" si="7"/>
        <v>1.6</v>
      </c>
      <c r="H21" s="33">
        <f t="shared" si="8"/>
        <v>3.2</v>
      </c>
      <c r="I21" s="39">
        <f t="shared" si="4"/>
        <v>1956.2560000000001</v>
      </c>
    </row>
    <row r="22" spans="1:9" ht="15.75" x14ac:dyDescent="0.25">
      <c r="A22" s="51" t="s">
        <v>190</v>
      </c>
      <c r="B22" s="51"/>
      <c r="C22" s="51"/>
      <c r="D22" s="51"/>
      <c r="E22" s="51"/>
      <c r="F22" s="97">
        <f>SUM(F5:H21)</f>
        <v>278.1466666666667</v>
      </c>
      <c r="G22" s="97"/>
      <c r="H22" s="97"/>
      <c r="I22" s="53">
        <f>SUM(I5:I21)</f>
        <v>14786.034933333334</v>
      </c>
    </row>
    <row r="24" spans="1:9" x14ac:dyDescent="0.25">
      <c r="A24" s="59" t="s">
        <v>8</v>
      </c>
    </row>
    <row r="25" spans="1:9" ht="45" customHeight="1" x14ac:dyDescent="0.25">
      <c r="A25" s="87" t="s">
        <v>105</v>
      </c>
      <c r="B25" s="87"/>
      <c r="C25" s="87"/>
      <c r="D25" s="87"/>
      <c r="E25" s="87"/>
      <c r="F25" s="87"/>
      <c r="G25" s="87"/>
      <c r="H25" s="87"/>
      <c r="I25" s="87"/>
    </row>
    <row r="26" spans="1:9" ht="60.75" customHeight="1" x14ac:dyDescent="0.25">
      <c r="A26" s="98" t="s">
        <v>177</v>
      </c>
      <c r="B26" s="99"/>
      <c r="C26" s="99"/>
      <c r="D26" s="99"/>
      <c r="E26" s="99"/>
      <c r="F26" s="99"/>
      <c r="G26" s="99"/>
      <c r="H26" s="99"/>
      <c r="I26" s="99"/>
    </row>
    <row r="27" spans="1:9" x14ac:dyDescent="0.25">
      <c r="A27" s="88" t="s">
        <v>148</v>
      </c>
      <c r="B27" s="88"/>
      <c r="C27" s="88"/>
      <c r="D27" s="88"/>
      <c r="E27" s="88"/>
      <c r="F27" s="88"/>
      <c r="G27" s="88"/>
      <c r="H27" s="88"/>
      <c r="I27" s="88"/>
    </row>
    <row r="28" spans="1:9" ht="29.45" customHeight="1" x14ac:dyDescent="0.25">
      <c r="A28" s="95" t="s">
        <v>149</v>
      </c>
      <c r="B28" s="95"/>
      <c r="C28" s="95"/>
      <c r="D28" s="95"/>
      <c r="E28" s="95"/>
      <c r="F28" s="95"/>
      <c r="G28" s="95"/>
      <c r="H28" s="95"/>
      <c r="I28" s="95"/>
    </row>
    <row r="29" spans="1:9" ht="28.15" customHeight="1" x14ac:dyDescent="0.25">
      <c r="A29" s="84" t="s">
        <v>150</v>
      </c>
      <c r="B29" s="84"/>
      <c r="C29" s="84"/>
      <c r="D29" s="84"/>
      <c r="E29" s="84"/>
      <c r="F29" s="84"/>
      <c r="G29" s="84"/>
      <c r="H29" s="84"/>
      <c r="I29" s="84"/>
    </row>
    <row r="30" spans="1:9" ht="27" customHeight="1" x14ac:dyDescent="0.25">
      <c r="A30" s="84" t="s">
        <v>151</v>
      </c>
      <c r="B30" s="84"/>
      <c r="C30" s="84"/>
      <c r="D30" s="84"/>
      <c r="E30" s="84"/>
      <c r="F30" s="84"/>
      <c r="G30" s="84"/>
      <c r="H30" s="84"/>
      <c r="I30" s="84"/>
    </row>
    <row r="31" spans="1:9" ht="29.45" customHeight="1" x14ac:dyDescent="0.25">
      <c r="A31" s="95" t="s">
        <v>152</v>
      </c>
      <c r="B31" s="95"/>
      <c r="C31" s="95"/>
      <c r="D31" s="95"/>
      <c r="E31" s="95"/>
      <c r="F31" s="95"/>
      <c r="G31" s="95"/>
      <c r="H31" s="95"/>
      <c r="I31" s="95"/>
    </row>
    <row r="32" spans="1:9" ht="32.450000000000003" customHeight="1" x14ac:dyDescent="0.25">
      <c r="A32" s="95" t="s">
        <v>153</v>
      </c>
      <c r="B32" s="95"/>
      <c r="C32" s="95"/>
      <c r="D32" s="95"/>
      <c r="E32" s="95"/>
      <c r="F32" s="95"/>
      <c r="G32" s="95"/>
      <c r="H32" s="95"/>
      <c r="I32" s="95"/>
    </row>
    <row r="33" spans="1:9" ht="30" customHeight="1" x14ac:dyDescent="0.25">
      <c r="A33" s="87" t="s">
        <v>154</v>
      </c>
      <c r="B33" s="87"/>
      <c r="C33" s="87"/>
      <c r="D33" s="87"/>
      <c r="E33" s="87"/>
      <c r="F33" s="87"/>
      <c r="G33" s="87"/>
      <c r="H33" s="87"/>
      <c r="I33" s="87"/>
    </row>
    <row r="34" spans="1:9" ht="33" customHeight="1" x14ac:dyDescent="0.25">
      <c r="A34" s="87" t="s">
        <v>155</v>
      </c>
      <c r="B34" s="87"/>
      <c r="C34" s="87"/>
      <c r="D34" s="87"/>
      <c r="E34" s="87"/>
      <c r="F34" s="87"/>
      <c r="G34" s="87"/>
      <c r="H34" s="87"/>
      <c r="I34" s="87"/>
    </row>
    <row r="35" spans="1:9" ht="29.45" customHeight="1" x14ac:dyDescent="0.25">
      <c r="A35" s="87" t="s">
        <v>156</v>
      </c>
      <c r="B35" s="87"/>
      <c r="C35" s="87"/>
      <c r="D35" s="87"/>
      <c r="E35" s="87"/>
      <c r="F35" s="87"/>
      <c r="G35" s="87"/>
      <c r="H35" s="87"/>
      <c r="I35" s="87"/>
    </row>
    <row r="36" spans="1:9" ht="37.15" customHeight="1" x14ac:dyDescent="0.25">
      <c r="A36" s="94" t="s">
        <v>157</v>
      </c>
      <c r="B36" s="94"/>
      <c r="C36" s="94"/>
      <c r="D36" s="94"/>
      <c r="E36" s="94"/>
      <c r="F36" s="94"/>
      <c r="G36" s="94"/>
      <c r="H36" s="94"/>
      <c r="I36" s="94"/>
    </row>
    <row r="37" spans="1:9" ht="15.75" x14ac:dyDescent="0.25">
      <c r="A37" s="81"/>
      <c r="B37" s="81"/>
      <c r="C37" s="81"/>
      <c r="D37" s="81"/>
      <c r="E37" s="81"/>
      <c r="F37" s="81"/>
      <c r="G37" s="81"/>
      <c r="H37" s="81"/>
      <c r="I37" s="81"/>
    </row>
  </sheetData>
  <mergeCells count="16">
    <mergeCell ref="A3:A4"/>
    <mergeCell ref="F22:H22"/>
    <mergeCell ref="L5:M5"/>
    <mergeCell ref="A26:I26"/>
    <mergeCell ref="A25:I25"/>
    <mergeCell ref="A27:I27"/>
    <mergeCell ref="A28:I28"/>
    <mergeCell ref="A29:I29"/>
    <mergeCell ref="A30:I30"/>
    <mergeCell ref="A32:I32"/>
    <mergeCell ref="A37:I37"/>
    <mergeCell ref="A34:I34"/>
    <mergeCell ref="A35:I35"/>
    <mergeCell ref="A36:I36"/>
    <mergeCell ref="A31:I31"/>
    <mergeCell ref="A33:I3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4"/>
  <sheetViews>
    <sheetView zoomScale="90" zoomScaleNormal="90" workbookViewId="0">
      <selection activeCell="I11" sqref="I11"/>
    </sheetView>
  </sheetViews>
  <sheetFormatPr defaultColWidth="22" defaultRowHeight="12.75" x14ac:dyDescent="0.2"/>
  <cols>
    <col min="1" max="1" width="23.7109375" style="5" customWidth="1"/>
    <col min="2" max="2" width="17.5703125" style="5" customWidth="1"/>
    <col min="3" max="3" width="17.28515625" style="5" customWidth="1"/>
    <col min="4" max="4" width="22" style="5"/>
    <col min="5" max="5" width="19.85546875" style="5" customWidth="1"/>
    <col min="6" max="7" width="16.85546875" style="5" customWidth="1"/>
    <col min="8" max="8" width="6" style="5" customWidth="1"/>
    <col min="9" max="16384" width="22" style="5"/>
  </cols>
  <sheetData>
    <row r="1" spans="1:9" x14ac:dyDescent="0.2">
      <c r="A1" s="3"/>
      <c r="B1" s="4"/>
      <c r="C1" s="4"/>
    </row>
    <row r="2" spans="1:9" x14ac:dyDescent="0.2">
      <c r="A2" s="101" t="s">
        <v>10</v>
      </c>
      <c r="B2" s="101"/>
      <c r="C2" s="101"/>
      <c r="D2" s="101"/>
      <c r="E2" s="101"/>
      <c r="F2" s="101"/>
      <c r="G2" s="102"/>
      <c r="H2" s="12"/>
    </row>
    <row r="3" spans="1:9" x14ac:dyDescent="0.2">
      <c r="A3" s="10" t="s">
        <v>11</v>
      </c>
      <c r="B3" s="10" t="s">
        <v>12</v>
      </c>
      <c r="C3" s="10" t="s">
        <v>13</v>
      </c>
      <c r="D3" s="10" t="s">
        <v>14</v>
      </c>
      <c r="E3" s="10" t="s">
        <v>15</v>
      </c>
      <c r="F3" s="10" t="s">
        <v>16</v>
      </c>
      <c r="G3" s="10" t="s">
        <v>17</v>
      </c>
      <c r="H3" s="12"/>
    </row>
    <row r="4" spans="1:9" ht="46.5" customHeight="1" x14ac:dyDescent="0.2">
      <c r="A4" s="63" t="s">
        <v>18</v>
      </c>
      <c r="B4" s="63" t="s">
        <v>19</v>
      </c>
      <c r="C4" s="63" t="s">
        <v>169</v>
      </c>
      <c r="D4" s="63" t="s">
        <v>20</v>
      </c>
      <c r="E4" s="63" t="s">
        <v>21</v>
      </c>
      <c r="F4" s="63" t="s">
        <v>170</v>
      </c>
      <c r="G4" s="63" t="s">
        <v>22</v>
      </c>
      <c r="H4" s="12"/>
    </row>
    <row r="5" spans="1:9" ht="36.75" customHeight="1" x14ac:dyDescent="0.2">
      <c r="A5" s="64" t="s">
        <v>164</v>
      </c>
      <c r="B5" s="6" t="s">
        <v>56</v>
      </c>
      <c r="C5" s="6" t="s">
        <v>56</v>
      </c>
      <c r="D5" s="6" t="s">
        <v>56</v>
      </c>
      <c r="E5" s="65">
        <v>78</v>
      </c>
      <c r="F5" s="6">
        <v>8</v>
      </c>
      <c r="G5" s="11">
        <f>E5*F5</f>
        <v>624</v>
      </c>
      <c r="H5" s="13"/>
    </row>
    <row r="6" spans="1:9" x14ac:dyDescent="0.2">
      <c r="A6" s="103" t="s">
        <v>168</v>
      </c>
      <c r="B6" s="104"/>
      <c r="C6" s="104"/>
      <c r="D6" s="104"/>
      <c r="E6" s="104"/>
      <c r="F6" s="104"/>
      <c r="G6" s="105"/>
      <c r="H6" s="13"/>
    </row>
    <row r="7" spans="1:9" ht="36.75" customHeight="1" x14ac:dyDescent="0.2">
      <c r="A7" s="66" t="s">
        <v>165</v>
      </c>
      <c r="B7" s="11">
        <v>14000</v>
      </c>
      <c r="C7" s="7">
        <v>13</v>
      </c>
      <c r="D7" s="11">
        <f>B7*C7</f>
        <v>182000</v>
      </c>
      <c r="E7" s="7" t="s">
        <v>56</v>
      </c>
      <c r="F7" s="7" t="s">
        <v>56</v>
      </c>
      <c r="G7" s="7" t="s">
        <v>56</v>
      </c>
      <c r="H7" s="13"/>
    </row>
    <row r="8" spans="1:9" ht="36.75" customHeight="1" x14ac:dyDescent="0.2">
      <c r="A8" s="66" t="s">
        <v>166</v>
      </c>
      <c r="B8" s="11">
        <v>14000</v>
      </c>
      <c r="C8" s="7">
        <v>19</v>
      </c>
      <c r="D8" s="11">
        <f>B8*C8</f>
        <v>266000</v>
      </c>
      <c r="E8" s="7" t="s">
        <v>56</v>
      </c>
      <c r="F8" s="7" t="s">
        <v>56</v>
      </c>
      <c r="G8" s="7" t="s">
        <v>56</v>
      </c>
      <c r="H8" s="14"/>
    </row>
    <row r="9" spans="1:9" ht="36.75" customHeight="1" x14ac:dyDescent="0.2">
      <c r="A9" s="66" t="s">
        <v>167</v>
      </c>
      <c r="B9" s="18">
        <v>14000</v>
      </c>
      <c r="C9" s="25">
        <v>3</v>
      </c>
      <c r="D9" s="18">
        <f>C9*B9</f>
        <v>42000</v>
      </c>
      <c r="E9" s="7" t="s">
        <v>56</v>
      </c>
      <c r="F9" s="7" t="s">
        <v>56</v>
      </c>
      <c r="G9" s="7" t="s">
        <v>56</v>
      </c>
      <c r="H9" s="15"/>
    </row>
    <row r="10" spans="1:9" ht="36.75" customHeight="1" x14ac:dyDescent="0.2">
      <c r="A10" s="76" t="s">
        <v>185</v>
      </c>
      <c r="B10" s="7"/>
      <c r="C10" s="7"/>
      <c r="D10" s="77">
        <f>SUM(D5:D9)</f>
        <v>490000</v>
      </c>
      <c r="E10" s="7"/>
      <c r="F10" s="7"/>
      <c r="G10" s="77">
        <f>ROUND(SUM(G5:G9), -2)</f>
        <v>600</v>
      </c>
      <c r="H10" s="15"/>
    </row>
    <row r="11" spans="1:9" ht="36.75" customHeight="1" x14ac:dyDescent="0.2">
      <c r="A11" s="76" t="s">
        <v>186</v>
      </c>
      <c r="B11" s="18"/>
      <c r="C11" s="25"/>
      <c r="D11" s="78">
        <f>D10/3</f>
        <v>163333.33333333334</v>
      </c>
      <c r="E11" s="7"/>
      <c r="F11" s="7"/>
      <c r="G11" s="77">
        <v>200</v>
      </c>
      <c r="H11" s="15"/>
      <c r="I11" s="20">
        <f>D11+G11</f>
        <v>163533.33333333334</v>
      </c>
    </row>
    <row r="13" spans="1:9" ht="19.5" customHeight="1" x14ac:dyDescent="0.2">
      <c r="A13" s="81"/>
      <c r="B13" s="81"/>
      <c r="C13" s="81"/>
      <c r="D13" s="81"/>
      <c r="E13" s="81"/>
      <c r="F13" s="81"/>
      <c r="G13" s="81"/>
    </row>
    <row r="14" spans="1:9" ht="17.25" customHeight="1" x14ac:dyDescent="0.2">
      <c r="A14" s="89" t="s">
        <v>182</v>
      </c>
      <c r="B14" s="100"/>
      <c r="C14" s="100"/>
      <c r="D14" s="100"/>
      <c r="E14" s="100"/>
      <c r="F14" s="100"/>
      <c r="G14" s="100"/>
    </row>
  </sheetData>
  <mergeCells count="4">
    <mergeCell ref="A14:G14"/>
    <mergeCell ref="A2:G2"/>
    <mergeCell ref="A6:G6"/>
    <mergeCell ref="A13:G13"/>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6"/>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5" customFormat="1" ht="15.75" x14ac:dyDescent="0.2">
      <c r="A1" s="106" t="s">
        <v>6</v>
      </c>
      <c r="B1" s="106"/>
      <c r="C1" s="106"/>
      <c r="D1" s="106"/>
      <c r="E1" s="106"/>
    </row>
    <row r="2" spans="1:6" s="5" customFormat="1" ht="12.75" x14ac:dyDescent="0.2">
      <c r="A2" s="6" t="s">
        <v>11</v>
      </c>
      <c r="B2" s="6" t="s">
        <v>12</v>
      </c>
      <c r="C2" s="6" t="s">
        <v>13</v>
      </c>
      <c r="D2" s="6" t="s">
        <v>14</v>
      </c>
      <c r="E2" s="6" t="s">
        <v>15</v>
      </c>
    </row>
    <row r="3" spans="1:6" s="5" customFormat="1" ht="102" x14ac:dyDescent="0.2">
      <c r="A3" s="6" t="s">
        <v>23</v>
      </c>
      <c r="B3" s="6" t="s">
        <v>24</v>
      </c>
      <c r="C3" s="6" t="s">
        <v>25</v>
      </c>
      <c r="D3" s="6" t="s">
        <v>26</v>
      </c>
      <c r="E3" s="6" t="s">
        <v>27</v>
      </c>
    </row>
    <row r="4" spans="1:6" s="5" customFormat="1" ht="25.5" x14ac:dyDescent="0.2">
      <c r="A4" s="9" t="s">
        <v>28</v>
      </c>
      <c r="B4" s="7">
        <v>2</v>
      </c>
      <c r="C4" s="7">
        <v>1</v>
      </c>
      <c r="D4" s="7">
        <v>0</v>
      </c>
      <c r="E4" s="7">
        <f>(B4*C4)+D4</f>
        <v>2</v>
      </c>
    </row>
    <row r="5" spans="1:6" s="5" customFormat="1" ht="25.5" x14ac:dyDescent="0.2">
      <c r="A5" s="9" t="s">
        <v>158</v>
      </c>
      <c r="B5" s="7">
        <v>2</v>
      </c>
      <c r="C5" s="7">
        <v>1</v>
      </c>
      <c r="D5" s="7">
        <v>0</v>
      </c>
      <c r="E5" s="7">
        <f t="shared" ref="E5:E11" si="0">(B5*C5)+D5</f>
        <v>2</v>
      </c>
    </row>
    <row r="6" spans="1:6" s="5" customFormat="1" ht="25.5" x14ac:dyDescent="0.2">
      <c r="A6" s="9" t="s">
        <v>29</v>
      </c>
      <c r="B6" s="7">
        <v>2.7</v>
      </c>
      <c r="C6" s="7">
        <v>1</v>
      </c>
      <c r="D6" s="7">
        <v>0</v>
      </c>
      <c r="E6" s="7">
        <f t="shared" si="0"/>
        <v>2.7</v>
      </c>
    </row>
    <row r="7" spans="1:6" s="5" customFormat="1" ht="25.5" x14ac:dyDescent="0.2">
      <c r="A7" s="9" t="s">
        <v>159</v>
      </c>
      <c r="B7" s="7">
        <v>6.4</v>
      </c>
      <c r="C7" s="7">
        <v>2</v>
      </c>
      <c r="D7" s="7">
        <v>0</v>
      </c>
      <c r="E7" s="7">
        <f>(B7*C7)+D7</f>
        <v>12.8</v>
      </c>
    </row>
    <row r="8" spans="1:6" s="5" customFormat="1" ht="25.5" x14ac:dyDescent="0.2">
      <c r="A8" s="9" t="s">
        <v>160</v>
      </c>
      <c r="B8" s="7">
        <v>1.6</v>
      </c>
      <c r="C8" s="7">
        <v>2</v>
      </c>
      <c r="D8" s="7">
        <v>0</v>
      </c>
      <c r="E8" s="7">
        <f t="shared" si="0"/>
        <v>3.2</v>
      </c>
      <c r="F8" s="2"/>
    </row>
    <row r="9" spans="1:6" s="5" customFormat="1" ht="28.5" customHeight="1" x14ac:dyDescent="0.2">
      <c r="A9" s="9" t="s">
        <v>161</v>
      </c>
      <c r="B9" s="7">
        <v>3</v>
      </c>
      <c r="C9" s="7">
        <v>2</v>
      </c>
      <c r="D9" s="60">
        <v>0</v>
      </c>
      <c r="E9" s="7">
        <f t="shared" si="0"/>
        <v>6</v>
      </c>
    </row>
    <row r="10" spans="1:6" s="5" customFormat="1" ht="28.5" customHeight="1" x14ac:dyDescent="0.2">
      <c r="A10" s="9" t="s">
        <v>162</v>
      </c>
      <c r="B10" s="7">
        <v>3</v>
      </c>
      <c r="C10" s="7">
        <v>2</v>
      </c>
      <c r="D10" s="60">
        <v>0</v>
      </c>
      <c r="E10" s="7">
        <f t="shared" si="0"/>
        <v>6</v>
      </c>
    </row>
    <row r="11" spans="1:6" s="5" customFormat="1" ht="28.5" customHeight="1" x14ac:dyDescent="0.2">
      <c r="A11" s="9" t="s">
        <v>163</v>
      </c>
      <c r="B11" s="7">
        <v>8</v>
      </c>
      <c r="C11" s="7">
        <v>2</v>
      </c>
      <c r="D11" s="60">
        <v>0</v>
      </c>
      <c r="E11" s="7">
        <f t="shared" si="0"/>
        <v>16</v>
      </c>
    </row>
    <row r="12" spans="1:6" s="5" customFormat="1" ht="12.75" x14ac:dyDescent="0.2">
      <c r="A12" s="9"/>
      <c r="B12" s="7"/>
      <c r="C12" s="7"/>
      <c r="D12" s="10" t="s">
        <v>30</v>
      </c>
      <c r="E12" s="19">
        <f>SUM(E4:E11)</f>
        <v>50.7</v>
      </c>
    </row>
    <row r="13" spans="1:6" s="5" customFormat="1" ht="12.75" x14ac:dyDescent="0.2">
      <c r="A13" s="21"/>
      <c r="B13" s="22"/>
      <c r="C13" s="22"/>
      <c r="D13" s="23"/>
      <c r="E13" s="24"/>
    </row>
    <row r="14" spans="1:6" s="5" customFormat="1" ht="12.75" x14ac:dyDescent="0.2">
      <c r="A14" s="61"/>
      <c r="B14" s="61"/>
      <c r="C14" s="61"/>
      <c r="D14" s="61"/>
      <c r="E14" s="61"/>
    </row>
    <row r="15" spans="1:6" s="5" customFormat="1" ht="12.75" x14ac:dyDescent="0.2">
      <c r="A15" s="61"/>
      <c r="B15" s="61"/>
      <c r="C15" s="61"/>
      <c r="D15" s="61"/>
      <c r="E15" s="61"/>
    </row>
    <row r="16" spans="1:6" s="5" customFormat="1" ht="12.75" x14ac:dyDescent="0.2">
      <c r="A16" s="62"/>
      <c r="B16" s="62"/>
      <c r="C16" s="62"/>
      <c r="D16" s="62"/>
      <c r="E16" s="62"/>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sqref="A1:F1"/>
    </sheetView>
  </sheetViews>
  <sheetFormatPr defaultColWidth="17.7109375" defaultRowHeight="31.9" customHeight="1" x14ac:dyDescent="0.25"/>
  <sheetData>
    <row r="1" spans="1:6" s="5" customFormat="1" ht="31.9" customHeight="1" x14ac:dyDescent="0.2">
      <c r="A1" s="106" t="s">
        <v>2</v>
      </c>
      <c r="B1" s="106"/>
      <c r="C1" s="106"/>
      <c r="D1" s="106"/>
      <c r="E1" s="106"/>
      <c r="F1" s="106"/>
    </row>
    <row r="2" spans="1:6" s="5" customFormat="1" ht="31.9" customHeight="1" x14ac:dyDescent="0.2">
      <c r="A2" s="16"/>
      <c r="B2" s="107" t="s">
        <v>31</v>
      </c>
      <c r="C2" s="107"/>
      <c r="D2" s="16" t="s">
        <v>32</v>
      </c>
      <c r="E2" s="107"/>
      <c r="F2" s="107"/>
    </row>
    <row r="3" spans="1:6" s="5" customFormat="1" ht="31.9" customHeight="1" x14ac:dyDescent="0.2">
      <c r="A3" s="16"/>
      <c r="B3" s="17" t="s">
        <v>11</v>
      </c>
      <c r="C3" s="17" t="s">
        <v>12</v>
      </c>
      <c r="D3" s="17" t="s">
        <v>13</v>
      </c>
      <c r="E3" s="17" t="s">
        <v>14</v>
      </c>
      <c r="F3" s="17" t="s">
        <v>15</v>
      </c>
    </row>
    <row r="4" spans="1:6" s="5" customFormat="1" ht="70.900000000000006" customHeight="1" x14ac:dyDescent="0.2">
      <c r="A4" s="17" t="s">
        <v>33</v>
      </c>
      <c r="B4" s="16" t="s">
        <v>34</v>
      </c>
      <c r="C4" s="16" t="s">
        <v>35</v>
      </c>
      <c r="D4" s="16" t="s">
        <v>36</v>
      </c>
      <c r="E4" s="16" t="s">
        <v>37</v>
      </c>
      <c r="F4" s="16" t="s">
        <v>38</v>
      </c>
    </row>
    <row r="5" spans="1:6" s="5" customFormat="1" ht="31.9" customHeight="1" x14ac:dyDescent="0.2">
      <c r="A5" s="6">
        <v>1</v>
      </c>
      <c r="B5" s="7">
        <v>0</v>
      </c>
      <c r="C5" s="7">
        <v>8</v>
      </c>
      <c r="D5" s="7">
        <v>0</v>
      </c>
      <c r="E5" s="7">
        <v>0</v>
      </c>
      <c r="F5" s="7">
        <f>B5+C5+D5-E5</f>
        <v>8</v>
      </c>
    </row>
    <row r="6" spans="1:6" s="5" customFormat="1" ht="31.9" customHeight="1" x14ac:dyDescent="0.2">
      <c r="A6" s="6">
        <v>2</v>
      </c>
      <c r="B6" s="7">
        <v>0</v>
      </c>
      <c r="C6" s="7">
        <v>8</v>
      </c>
      <c r="D6" s="7">
        <v>0</v>
      </c>
      <c r="E6" s="7">
        <v>0</v>
      </c>
      <c r="F6" s="7">
        <f>B6+C6+D6-E6</f>
        <v>8</v>
      </c>
    </row>
    <row r="7" spans="1:6" s="5" customFormat="1" ht="31.9" customHeight="1" x14ac:dyDescent="0.2">
      <c r="A7" s="6">
        <v>3</v>
      </c>
      <c r="B7" s="7">
        <v>0</v>
      </c>
      <c r="C7" s="7">
        <v>8</v>
      </c>
      <c r="D7" s="7">
        <v>0</v>
      </c>
      <c r="E7" s="7">
        <v>0</v>
      </c>
      <c r="F7" s="7">
        <f>B7+C7+D7-E7</f>
        <v>8</v>
      </c>
    </row>
    <row r="8" spans="1:6" s="5" customFormat="1" ht="31.9" customHeight="1" x14ac:dyDescent="0.2">
      <c r="A8" s="6" t="s">
        <v>39</v>
      </c>
      <c r="B8" s="7">
        <f>AVERAGE(B5:B7)</f>
        <v>0</v>
      </c>
      <c r="C8" s="7">
        <f>AVERAGE(C5:C7)</f>
        <v>8</v>
      </c>
      <c r="D8" s="7">
        <v>0</v>
      </c>
      <c r="E8" s="7">
        <v>0</v>
      </c>
      <c r="F8" s="10">
        <f>AVERAGE(F5:F7)</f>
        <v>8</v>
      </c>
    </row>
    <row r="9" spans="1:6" s="5" customFormat="1" ht="20.45" customHeight="1" x14ac:dyDescent="0.2">
      <c r="A9" s="8" t="s">
        <v>40</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1891fcec-84c2-4840-9468-b51a784ab0d1"/>
    <ds:schemaRef ds:uri="http://schemas.microsoft.com/office/2006/documentManagement/types"/>
    <ds:schemaRef ds:uri="http://purl.org/dc/elements/1.1/"/>
    <ds:schemaRef ds:uri="4d6aed1e-57d3-46e3-9aba-f706adbce63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Schultz, Eric</cp:lastModifiedBy>
  <cp:revision/>
  <dcterms:created xsi:type="dcterms:W3CDTF">2018-07-19T14:57:42Z</dcterms:created>
  <dcterms:modified xsi:type="dcterms:W3CDTF">2024-06-28T19:51:26Z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