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usdagcc-my.sharepoint.com/personal/dionne_duncan-hughes_usda_gov/Documents/Desktop/Food Package Rule ICR_PRAO Passback_2024.07.10/"/>
    </mc:Choice>
  </mc:AlternateContent>
  <xr:revisionPtr revIDLastSave="967" documentId="8_{042C971D-7355-4E0B-A1A1-41645E1AA1DD}" xr6:coauthVersionLast="47" xr6:coauthVersionMax="47" xr10:uidLastSave="{3B29CF5E-D891-4895-91DE-B773F161CDC0}"/>
  <bookViews>
    <workbookView xWindow="28680" yWindow="-120" windowWidth="29040" windowHeight="15840" tabRatio="599" xr2:uid="{00000000-000D-0000-FFFF-FFFF00000000}"/>
  </bookViews>
  <sheets>
    <sheet name="FP Final Rule + WIC ICB" sheetId="6" r:id="rId1"/>
    <sheet name="FP Final Rule Only" sheetId="7" r:id="rId2"/>
    <sheet name="Currently Approved WIC ICB" sheetId="5" r:id="rId3"/>
    <sheet name="Cost Estimates Q12B" sheetId="8"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 i="6" l="1"/>
  <c r="G17" i="7"/>
  <c r="G35" i="7" s="1"/>
  <c r="C45" i="7"/>
  <c r="C44" i="7"/>
  <c r="C142" i="6"/>
  <c r="D23" i="7"/>
  <c r="F3" i="8"/>
  <c r="D3" i="8"/>
  <c r="E3" i="8"/>
  <c r="B3" i="8"/>
  <c r="D4" i="8"/>
  <c r="E4" i="8"/>
  <c r="F4" i="8"/>
  <c r="B4" i="8"/>
  <c r="F5" i="8"/>
  <c r="E5" i="8"/>
  <c r="D5" i="8"/>
  <c r="B5" i="8"/>
  <c r="E187" i="6"/>
  <c r="H46" i="7"/>
  <c r="J44" i="7"/>
  <c r="H44" i="7"/>
  <c r="H45" i="7" s="1"/>
  <c r="J41" i="7"/>
  <c r="H41" i="7"/>
  <c r="J34" i="7"/>
  <c r="H34" i="7"/>
  <c r="H35" i="7" s="1"/>
  <c r="C54" i="7" s="1"/>
  <c r="C34" i="7"/>
  <c r="J23" i="7"/>
  <c r="H23" i="7"/>
  <c r="C23" i="7"/>
  <c r="J17" i="7"/>
  <c r="H17" i="7"/>
  <c r="C17" i="7"/>
  <c r="C43" i="7"/>
  <c r="E43" i="7" s="1"/>
  <c r="G43" i="7" s="1"/>
  <c r="G44" i="7" s="1"/>
  <c r="D40" i="7"/>
  <c r="E40" i="7" s="1"/>
  <c r="G40" i="7" s="1"/>
  <c r="D39" i="7"/>
  <c r="E39" i="7" s="1"/>
  <c r="G39" i="7" s="1"/>
  <c r="D38" i="7"/>
  <c r="E38" i="7" s="1"/>
  <c r="G38" i="7" s="1"/>
  <c r="C33" i="7"/>
  <c r="E33" i="7" s="1"/>
  <c r="G33" i="7" s="1"/>
  <c r="C32" i="7"/>
  <c r="E32" i="7" s="1"/>
  <c r="G32" i="7" s="1"/>
  <c r="I32" i="7" s="1"/>
  <c r="C31" i="7"/>
  <c r="E31" i="7" s="1"/>
  <c r="G31" i="7" s="1"/>
  <c r="C30" i="7"/>
  <c r="E30" i="7" s="1"/>
  <c r="G30" i="7" s="1"/>
  <c r="K30" i="7" s="1"/>
  <c r="C29" i="7"/>
  <c r="E29" i="7" s="1"/>
  <c r="G29" i="7" s="1"/>
  <c r="D28" i="7"/>
  <c r="C28" i="7"/>
  <c r="D27" i="7"/>
  <c r="C27" i="7"/>
  <c r="D26" i="7"/>
  <c r="C26" i="7"/>
  <c r="D25" i="7"/>
  <c r="C25" i="7"/>
  <c r="E22" i="7"/>
  <c r="G22" i="7" s="1"/>
  <c r="E21" i="7"/>
  <c r="G21" i="7" s="1"/>
  <c r="E20" i="7"/>
  <c r="G20" i="7" s="1"/>
  <c r="E19" i="7"/>
  <c r="D16" i="7"/>
  <c r="E16" i="7" s="1"/>
  <c r="G16" i="7" s="1"/>
  <c r="D15" i="7"/>
  <c r="E15" i="7" s="1"/>
  <c r="G15" i="7" s="1"/>
  <c r="D14" i="7"/>
  <c r="E14" i="7" s="1"/>
  <c r="G14" i="7" s="1"/>
  <c r="D13" i="7"/>
  <c r="E13" i="7" s="1"/>
  <c r="G13" i="7" s="1"/>
  <c r="D12" i="7"/>
  <c r="E12" i="7" s="1"/>
  <c r="G12" i="7" s="1"/>
  <c r="I12" i="7" s="1"/>
  <c r="C11" i="7"/>
  <c r="E11" i="7" s="1"/>
  <c r="G11" i="7" s="1"/>
  <c r="E10" i="7"/>
  <c r="G10" i="7" s="1"/>
  <c r="I10" i="7" s="1"/>
  <c r="E9" i="7"/>
  <c r="G9" i="7" s="1"/>
  <c r="D8" i="7"/>
  <c r="C8" i="7"/>
  <c r="D7" i="7"/>
  <c r="C7" i="7"/>
  <c r="D6" i="7"/>
  <c r="C6" i="7"/>
  <c r="D5" i="7"/>
  <c r="C5" i="7"/>
  <c r="C113" i="6"/>
  <c r="C86" i="6"/>
  <c r="C72" i="6"/>
  <c r="C114" i="6" s="1"/>
  <c r="C149" i="6" s="1"/>
  <c r="C179" i="6" s="1"/>
  <c r="D124" i="6"/>
  <c r="E124" i="6" s="1"/>
  <c r="G124" i="6" s="1"/>
  <c r="I124" i="6" s="1"/>
  <c r="D42" i="6"/>
  <c r="E42" i="6" s="1"/>
  <c r="G42" i="6" s="1"/>
  <c r="D33" i="6"/>
  <c r="E33" i="6" s="1"/>
  <c r="G33" i="6" s="1"/>
  <c r="I33" i="6" s="1"/>
  <c r="D32" i="6"/>
  <c r="E32" i="6" s="1"/>
  <c r="G32" i="6" s="1"/>
  <c r="C138" i="6"/>
  <c r="C143" i="6" s="1"/>
  <c r="C161" i="6" s="1"/>
  <c r="D125" i="6"/>
  <c r="E125" i="6" s="1"/>
  <c r="G125" i="6" s="1"/>
  <c r="I125" i="6" s="1"/>
  <c r="C106" i="6"/>
  <c r="E106" i="6" s="1"/>
  <c r="G106" i="6" s="1"/>
  <c r="C104" i="6"/>
  <c r="E104" i="6" s="1"/>
  <c r="G104" i="6" s="1"/>
  <c r="K104" i="6" s="1"/>
  <c r="C101" i="6"/>
  <c r="E101" i="6" s="1"/>
  <c r="G101" i="6" s="1"/>
  <c r="I101" i="6" s="1"/>
  <c r="D41" i="6"/>
  <c r="D40" i="6"/>
  <c r="E40" i="6" s="1"/>
  <c r="G40" i="6" s="1"/>
  <c r="I40" i="6" s="1"/>
  <c r="J147" i="6"/>
  <c r="J148" i="6" s="1"/>
  <c r="H147" i="6"/>
  <c r="H148" i="6" s="1"/>
  <c r="C175" i="6" s="1"/>
  <c r="F147" i="6"/>
  <c r="F148" i="6" s="1"/>
  <c r="C173" i="6" s="1"/>
  <c r="D147" i="6"/>
  <c r="D148" i="6" s="1"/>
  <c r="C171" i="6" s="1"/>
  <c r="C146" i="6"/>
  <c r="C147" i="6" s="1"/>
  <c r="C148" i="6" s="1"/>
  <c r="C170" i="6" s="1"/>
  <c r="J142" i="6"/>
  <c r="H142" i="6"/>
  <c r="C141" i="6"/>
  <c r="E141" i="6" s="1"/>
  <c r="G141" i="6" s="1"/>
  <c r="D140" i="6"/>
  <c r="C140" i="6"/>
  <c r="C139" i="6"/>
  <c r="E139" i="6" s="1"/>
  <c r="G139" i="6" s="1"/>
  <c r="D137" i="6"/>
  <c r="C137" i="6"/>
  <c r="H135" i="6"/>
  <c r="E134" i="6"/>
  <c r="G134" i="6" s="1"/>
  <c r="K134" i="6" s="1"/>
  <c r="C133" i="6"/>
  <c r="E133" i="6" s="1"/>
  <c r="G133" i="6" s="1"/>
  <c r="D132" i="6"/>
  <c r="C132" i="6"/>
  <c r="C131" i="6"/>
  <c r="E131" i="6" s="1"/>
  <c r="G131" i="6" s="1"/>
  <c r="E130" i="6"/>
  <c r="G130" i="6" s="1"/>
  <c r="E129" i="6"/>
  <c r="G129" i="6" s="1"/>
  <c r="D128" i="6"/>
  <c r="E128" i="6" s="1"/>
  <c r="G128" i="6" s="1"/>
  <c r="E127" i="6"/>
  <c r="G127" i="6" s="1"/>
  <c r="D126" i="6"/>
  <c r="E126" i="6" s="1"/>
  <c r="G126" i="6" s="1"/>
  <c r="E123" i="6"/>
  <c r="G123" i="6" s="1"/>
  <c r="C122" i="6"/>
  <c r="E122" i="6" s="1"/>
  <c r="G122" i="6" s="1"/>
  <c r="D121" i="6"/>
  <c r="E121" i="6" s="1"/>
  <c r="G121" i="6" s="1"/>
  <c r="E120" i="6"/>
  <c r="G120" i="6" s="1"/>
  <c r="J120" i="6" s="1"/>
  <c r="D119" i="6"/>
  <c r="C119" i="6"/>
  <c r="E118" i="6"/>
  <c r="G118" i="6" s="1"/>
  <c r="K118" i="6" s="1"/>
  <c r="E117" i="6"/>
  <c r="H113" i="6"/>
  <c r="C112" i="6"/>
  <c r="E112" i="6" s="1"/>
  <c r="G112" i="6" s="1"/>
  <c r="C111" i="6"/>
  <c r="E111" i="6" s="1"/>
  <c r="G111" i="6" s="1"/>
  <c r="E110" i="6"/>
  <c r="G110" i="6" s="1"/>
  <c r="E109" i="6"/>
  <c r="G109" i="6" s="1"/>
  <c r="K109" i="6" s="1"/>
  <c r="E108" i="6"/>
  <c r="G108" i="6" s="1"/>
  <c r="C107" i="6"/>
  <c r="E107" i="6" s="1"/>
  <c r="G107" i="6" s="1"/>
  <c r="C105" i="6"/>
  <c r="E105" i="6" s="1"/>
  <c r="G105" i="6" s="1"/>
  <c r="C103" i="6"/>
  <c r="E103" i="6" s="1"/>
  <c r="G103" i="6" s="1"/>
  <c r="E102" i="6"/>
  <c r="G102" i="6" s="1"/>
  <c r="C102" i="6"/>
  <c r="E100" i="6"/>
  <c r="G100" i="6" s="1"/>
  <c r="E99" i="6"/>
  <c r="G99" i="6" s="1"/>
  <c r="C99" i="6"/>
  <c r="D98" i="6"/>
  <c r="C98" i="6"/>
  <c r="D97" i="6"/>
  <c r="C97" i="6"/>
  <c r="C96" i="6"/>
  <c r="E96" i="6" s="1"/>
  <c r="G96" i="6" s="1"/>
  <c r="D95" i="6"/>
  <c r="C95" i="6"/>
  <c r="D94" i="6"/>
  <c r="C94" i="6"/>
  <c r="D93" i="6"/>
  <c r="C93" i="6"/>
  <c r="E93" i="6" s="1"/>
  <c r="G93" i="6" s="1"/>
  <c r="D92" i="6"/>
  <c r="C92" i="6"/>
  <c r="D91" i="6"/>
  <c r="C91" i="6"/>
  <c r="E91" i="6" s="1"/>
  <c r="G91" i="6" s="1"/>
  <c r="C90" i="6"/>
  <c r="E90" i="6" s="1"/>
  <c r="G90" i="6" s="1"/>
  <c r="C89" i="6"/>
  <c r="E89" i="6" s="1"/>
  <c r="G89" i="6" s="1"/>
  <c r="C88" i="6"/>
  <c r="E88" i="6" s="1"/>
  <c r="G88" i="6" s="1"/>
  <c r="H86" i="6"/>
  <c r="C85" i="6"/>
  <c r="E85" i="6" s="1"/>
  <c r="G85" i="6" s="1"/>
  <c r="C84" i="6"/>
  <c r="E84" i="6" s="1"/>
  <c r="G84" i="6" s="1"/>
  <c r="E83" i="6"/>
  <c r="G83" i="6" s="1"/>
  <c r="K83" i="6" s="1"/>
  <c r="C82" i="6"/>
  <c r="E82" i="6" s="1"/>
  <c r="G82" i="6" s="1"/>
  <c r="C81" i="6"/>
  <c r="E81" i="6" s="1"/>
  <c r="G81" i="6" s="1"/>
  <c r="C80" i="6"/>
  <c r="E80" i="6" s="1"/>
  <c r="G80" i="6" s="1"/>
  <c r="K80" i="6" s="1"/>
  <c r="E79" i="6"/>
  <c r="G79" i="6" s="1"/>
  <c r="K79" i="6" s="1"/>
  <c r="E78" i="6"/>
  <c r="G78" i="6" s="1"/>
  <c r="I78" i="6" s="1"/>
  <c r="E77" i="6"/>
  <c r="G77" i="6" s="1"/>
  <c r="K77" i="6" s="1"/>
  <c r="E76" i="6"/>
  <c r="G76" i="6" s="1"/>
  <c r="I76" i="6" s="1"/>
  <c r="E75" i="6"/>
  <c r="G75" i="6" s="1"/>
  <c r="K75" i="6" s="1"/>
  <c r="E74" i="6"/>
  <c r="G74" i="6" s="1"/>
  <c r="K74" i="6" s="1"/>
  <c r="H72" i="6"/>
  <c r="C71" i="6"/>
  <c r="E71" i="6" s="1"/>
  <c r="G71" i="6" s="1"/>
  <c r="E70" i="6"/>
  <c r="G70" i="6" s="1"/>
  <c r="K70" i="6" s="1"/>
  <c r="E69" i="6"/>
  <c r="G69" i="6" s="1"/>
  <c r="E68" i="6"/>
  <c r="G68" i="6" s="1"/>
  <c r="E67" i="6"/>
  <c r="G67" i="6" s="1"/>
  <c r="I67" i="6" s="1"/>
  <c r="D66" i="6"/>
  <c r="E66" i="6" s="1"/>
  <c r="G66" i="6" s="1"/>
  <c r="D65" i="6"/>
  <c r="E65" i="6" s="1"/>
  <c r="G65" i="6" s="1"/>
  <c r="E64" i="6"/>
  <c r="G64" i="6" s="1"/>
  <c r="C63" i="6"/>
  <c r="E63" i="6" s="1"/>
  <c r="G63" i="6" s="1"/>
  <c r="D62" i="6"/>
  <c r="E62" i="6" s="1"/>
  <c r="G62" i="6" s="1"/>
  <c r="K62" i="6" s="1"/>
  <c r="D61" i="6"/>
  <c r="E61" i="6" s="1"/>
  <c r="G61" i="6" s="1"/>
  <c r="E60" i="6"/>
  <c r="G60" i="6" s="1"/>
  <c r="K60" i="6" s="1"/>
  <c r="E59" i="6"/>
  <c r="G59" i="6" s="1"/>
  <c r="E58" i="6"/>
  <c r="G58" i="6" s="1"/>
  <c r="C57" i="6"/>
  <c r="E57" i="6" s="1"/>
  <c r="G57" i="6" s="1"/>
  <c r="E56" i="6"/>
  <c r="G56" i="6" s="1"/>
  <c r="D55" i="6"/>
  <c r="E55" i="6" s="1"/>
  <c r="G55" i="6" s="1"/>
  <c r="K55" i="6" s="1"/>
  <c r="E54" i="6"/>
  <c r="G54" i="6" s="1"/>
  <c r="K54" i="6" s="1"/>
  <c r="E53" i="6"/>
  <c r="G53" i="6" s="1"/>
  <c r="E52" i="6"/>
  <c r="G52" i="6" s="1"/>
  <c r="D51" i="6"/>
  <c r="E51" i="6" s="1"/>
  <c r="G51" i="6" s="1"/>
  <c r="D50" i="6"/>
  <c r="E50" i="6" s="1"/>
  <c r="G50" i="6" s="1"/>
  <c r="D49" i="6"/>
  <c r="E49" i="6" s="1"/>
  <c r="G49" i="6" s="1"/>
  <c r="E48" i="6"/>
  <c r="G48" i="6" s="1"/>
  <c r="E47" i="6"/>
  <c r="G47" i="6" s="1"/>
  <c r="D46" i="6"/>
  <c r="E46" i="6" s="1"/>
  <c r="G46" i="6" s="1"/>
  <c r="E45" i="6"/>
  <c r="G45" i="6" s="1"/>
  <c r="K45" i="6" s="1"/>
  <c r="D44" i="6"/>
  <c r="E44" i="6" s="1"/>
  <c r="G44" i="6" s="1"/>
  <c r="E43" i="6"/>
  <c r="G43" i="6" s="1"/>
  <c r="I43" i="6" s="1"/>
  <c r="E41" i="6"/>
  <c r="G41" i="6" s="1"/>
  <c r="E39" i="6"/>
  <c r="G39" i="6" s="1"/>
  <c r="D38" i="6"/>
  <c r="E38" i="6" s="1"/>
  <c r="G38" i="6" s="1"/>
  <c r="I38" i="6" s="1"/>
  <c r="E37" i="6"/>
  <c r="G37" i="6" s="1"/>
  <c r="E36" i="6"/>
  <c r="G36" i="6" s="1"/>
  <c r="K36" i="6" s="1"/>
  <c r="E35" i="6"/>
  <c r="G35" i="6" s="1"/>
  <c r="E34" i="6"/>
  <c r="G34" i="6" s="1"/>
  <c r="E31" i="6"/>
  <c r="G31" i="6" s="1"/>
  <c r="I31" i="6" s="1"/>
  <c r="E30" i="6"/>
  <c r="G30" i="6" s="1"/>
  <c r="K30" i="6" s="1"/>
  <c r="C29" i="6"/>
  <c r="E29" i="6" s="1"/>
  <c r="G29" i="6" s="1"/>
  <c r="I29" i="6" s="1"/>
  <c r="D28" i="6"/>
  <c r="C28" i="6"/>
  <c r="E28" i="6" s="1"/>
  <c r="G28" i="6" s="1"/>
  <c r="C27" i="6"/>
  <c r="E27" i="6" s="1"/>
  <c r="G27" i="6" s="1"/>
  <c r="D26" i="6"/>
  <c r="E26" i="6" s="1"/>
  <c r="G26" i="6" s="1"/>
  <c r="I26" i="6" s="1"/>
  <c r="C26" i="6"/>
  <c r="C25" i="6"/>
  <c r="E25" i="6" s="1"/>
  <c r="G25" i="6" s="1"/>
  <c r="E24" i="6"/>
  <c r="G24" i="6" s="1"/>
  <c r="E23" i="6"/>
  <c r="G23" i="6" s="1"/>
  <c r="J23" i="6" s="1"/>
  <c r="E22" i="6"/>
  <c r="G22" i="6" s="1"/>
  <c r="K22" i="6" s="1"/>
  <c r="D21" i="6"/>
  <c r="E21" i="6" s="1"/>
  <c r="G21" i="6" s="1"/>
  <c r="D20" i="6"/>
  <c r="E20" i="6" s="1"/>
  <c r="G20" i="6" s="1"/>
  <c r="E19" i="6"/>
  <c r="G19" i="6" s="1"/>
  <c r="K19" i="6" s="1"/>
  <c r="D18" i="6"/>
  <c r="C18" i="6"/>
  <c r="E18" i="6" s="1"/>
  <c r="G18" i="6" s="1"/>
  <c r="E17" i="6"/>
  <c r="G17" i="6" s="1"/>
  <c r="D16" i="6"/>
  <c r="C16" i="6"/>
  <c r="D15" i="6"/>
  <c r="E15" i="6" s="1"/>
  <c r="G15" i="6" s="1"/>
  <c r="K15" i="6" s="1"/>
  <c r="C15" i="6"/>
  <c r="D14" i="6"/>
  <c r="C14" i="6"/>
  <c r="E14" i="6" s="1"/>
  <c r="G14" i="6" s="1"/>
  <c r="D13" i="6"/>
  <c r="C13" i="6"/>
  <c r="E13" i="6" s="1"/>
  <c r="G13" i="6" s="1"/>
  <c r="I13" i="6" s="1"/>
  <c r="C12" i="6"/>
  <c r="E12" i="6" s="1"/>
  <c r="G12" i="6" s="1"/>
  <c r="D11" i="6"/>
  <c r="E11" i="6" s="1"/>
  <c r="G11" i="6" s="1"/>
  <c r="C10" i="6"/>
  <c r="E10" i="6" s="1"/>
  <c r="G10" i="6" s="1"/>
  <c r="I10" i="6" s="1"/>
  <c r="D9" i="6"/>
  <c r="E9" i="6" s="1"/>
  <c r="G9" i="6" s="1"/>
  <c r="E8" i="6"/>
  <c r="G8" i="6" s="1"/>
  <c r="C7" i="6"/>
  <c r="E7" i="6" s="1"/>
  <c r="G7" i="6" s="1"/>
  <c r="E6" i="6"/>
  <c r="G6" i="6" s="1"/>
  <c r="E5" i="6"/>
  <c r="G5" i="6" s="1"/>
  <c r="K5" i="6" s="1"/>
  <c r="F143" i="5"/>
  <c r="C168" i="5" s="1"/>
  <c r="J142" i="5"/>
  <c r="J143" i="5" s="1"/>
  <c r="H142" i="5"/>
  <c r="H143" i="5" s="1"/>
  <c r="C170" i="5" s="1"/>
  <c r="F142" i="5"/>
  <c r="D142" i="5"/>
  <c r="D143" i="5" s="1"/>
  <c r="C166" i="5" s="1"/>
  <c r="C141" i="5"/>
  <c r="C142" i="5" s="1"/>
  <c r="C143" i="5" s="1"/>
  <c r="C165" i="5" s="1"/>
  <c r="J137" i="5"/>
  <c r="H137" i="5"/>
  <c r="H138" i="5" s="1"/>
  <c r="C137" i="5"/>
  <c r="C138" i="5" s="1"/>
  <c r="C156" i="5" s="1"/>
  <c r="C136" i="5"/>
  <c r="E136" i="5" s="1"/>
  <c r="G136" i="5" s="1"/>
  <c r="D135" i="5"/>
  <c r="C135" i="5"/>
  <c r="E135" i="5" s="1"/>
  <c r="G135" i="5" s="1"/>
  <c r="C134" i="5"/>
  <c r="E134" i="5" s="1"/>
  <c r="G134" i="5" s="1"/>
  <c r="G133" i="5"/>
  <c r="K133" i="5" s="1"/>
  <c r="E133" i="5"/>
  <c r="D132" i="5"/>
  <c r="E132" i="5" s="1"/>
  <c r="C132" i="5"/>
  <c r="H130" i="5"/>
  <c r="K129" i="5"/>
  <c r="G129" i="5"/>
  <c r="I129" i="5" s="1"/>
  <c r="E129" i="5"/>
  <c r="C128" i="5"/>
  <c r="E128" i="5" s="1"/>
  <c r="G128" i="5" s="1"/>
  <c r="D127" i="5"/>
  <c r="C127" i="5"/>
  <c r="E127" i="5" s="1"/>
  <c r="G127" i="5" s="1"/>
  <c r="E126" i="5"/>
  <c r="G126" i="5" s="1"/>
  <c r="C126" i="5"/>
  <c r="E125" i="5"/>
  <c r="G125" i="5" s="1"/>
  <c r="E124" i="5"/>
  <c r="G124" i="5" s="1"/>
  <c r="E123" i="5"/>
  <c r="G123" i="5" s="1"/>
  <c r="D123" i="5"/>
  <c r="G122" i="5"/>
  <c r="I122" i="5" s="1"/>
  <c r="E122" i="5"/>
  <c r="D121" i="5"/>
  <c r="E121" i="5" s="1"/>
  <c r="G121" i="5" s="1"/>
  <c r="E120" i="5"/>
  <c r="G120" i="5" s="1"/>
  <c r="D120" i="5"/>
  <c r="D119" i="5"/>
  <c r="E119" i="5" s="1"/>
  <c r="G119" i="5" s="1"/>
  <c r="J118" i="5"/>
  <c r="G118" i="5"/>
  <c r="K118" i="5" s="1"/>
  <c r="E118" i="5"/>
  <c r="E117" i="5"/>
  <c r="G117" i="5" s="1"/>
  <c r="C117" i="5"/>
  <c r="D116" i="5"/>
  <c r="E116" i="5" s="1"/>
  <c r="G116" i="5" s="1"/>
  <c r="J115" i="5"/>
  <c r="G115" i="5"/>
  <c r="K115" i="5" s="1"/>
  <c r="E115" i="5"/>
  <c r="D114" i="5"/>
  <c r="E114" i="5" s="1"/>
  <c r="G114" i="5" s="1"/>
  <c r="C114" i="5"/>
  <c r="E113" i="5"/>
  <c r="G113" i="5" s="1"/>
  <c r="I113" i="5" s="1"/>
  <c r="E112" i="5"/>
  <c r="H108" i="5"/>
  <c r="C108" i="5"/>
  <c r="C107" i="5"/>
  <c r="E107" i="5" s="1"/>
  <c r="G107" i="5" s="1"/>
  <c r="C106" i="5"/>
  <c r="E106" i="5" s="1"/>
  <c r="G106" i="5" s="1"/>
  <c r="E105" i="5"/>
  <c r="G105" i="5" s="1"/>
  <c r="I105" i="5" s="1"/>
  <c r="K104" i="5"/>
  <c r="G104" i="5"/>
  <c r="I104" i="5" s="1"/>
  <c r="E104" i="5"/>
  <c r="E103" i="5"/>
  <c r="G103" i="5" s="1"/>
  <c r="C102" i="5"/>
  <c r="E102" i="5" s="1"/>
  <c r="G102" i="5" s="1"/>
  <c r="E101" i="5"/>
  <c r="G101" i="5" s="1"/>
  <c r="E100" i="5"/>
  <c r="G100" i="5" s="1"/>
  <c r="C100" i="5"/>
  <c r="G99" i="5"/>
  <c r="K99" i="5" s="1"/>
  <c r="E99" i="5"/>
  <c r="C98" i="5"/>
  <c r="E98" i="5" s="1"/>
  <c r="G98" i="5" s="1"/>
  <c r="E97" i="5"/>
  <c r="G97" i="5" s="1"/>
  <c r="C97" i="5"/>
  <c r="C96" i="5"/>
  <c r="E96" i="5" s="1"/>
  <c r="G96" i="5" s="1"/>
  <c r="E95" i="5"/>
  <c r="G95" i="5" s="1"/>
  <c r="E94" i="5"/>
  <c r="G94" i="5" s="1"/>
  <c r="C94" i="5"/>
  <c r="D93" i="5"/>
  <c r="C93" i="5"/>
  <c r="E93" i="5" s="1"/>
  <c r="G93" i="5" s="1"/>
  <c r="D92" i="5"/>
  <c r="E92" i="5" s="1"/>
  <c r="G92" i="5" s="1"/>
  <c r="C92" i="5"/>
  <c r="D91" i="5"/>
  <c r="E91" i="5" s="1"/>
  <c r="G91" i="5" s="1"/>
  <c r="C91" i="5"/>
  <c r="D90" i="5"/>
  <c r="E90" i="5" s="1"/>
  <c r="G90" i="5" s="1"/>
  <c r="C90" i="5"/>
  <c r="D89" i="5"/>
  <c r="C89" i="5"/>
  <c r="E89" i="5" s="1"/>
  <c r="G89" i="5" s="1"/>
  <c r="D88" i="5"/>
  <c r="E88" i="5" s="1"/>
  <c r="G88" i="5" s="1"/>
  <c r="C88" i="5"/>
  <c r="G87" i="5"/>
  <c r="C87" i="5"/>
  <c r="E87" i="5" s="1"/>
  <c r="E86" i="5"/>
  <c r="G86" i="5" s="1"/>
  <c r="C86" i="5"/>
  <c r="C85" i="5"/>
  <c r="E85" i="5" s="1"/>
  <c r="H83" i="5"/>
  <c r="C83" i="5"/>
  <c r="G82" i="5"/>
  <c r="C82" i="5"/>
  <c r="E82" i="5" s="1"/>
  <c r="E81" i="5"/>
  <c r="G81" i="5" s="1"/>
  <c r="C81" i="5"/>
  <c r="G80" i="5"/>
  <c r="I80" i="5" s="1"/>
  <c r="E80" i="5"/>
  <c r="C79" i="5"/>
  <c r="E79" i="5" s="1"/>
  <c r="G79" i="5" s="1"/>
  <c r="J78" i="5"/>
  <c r="E78" i="5"/>
  <c r="G78" i="5" s="1"/>
  <c r="K78" i="5" s="1"/>
  <c r="C78" i="5"/>
  <c r="G77" i="5"/>
  <c r="C77" i="5"/>
  <c r="E77" i="5" s="1"/>
  <c r="E76" i="5"/>
  <c r="G76" i="5" s="1"/>
  <c r="E75" i="5"/>
  <c r="G75" i="5" s="1"/>
  <c r="K75" i="5" s="1"/>
  <c r="G74" i="5"/>
  <c r="K74" i="5" s="1"/>
  <c r="E74" i="5"/>
  <c r="E73" i="5"/>
  <c r="G73" i="5" s="1"/>
  <c r="K73" i="5" s="1"/>
  <c r="G72" i="5"/>
  <c r="E72" i="5"/>
  <c r="C70" i="5"/>
  <c r="C109" i="5" s="1"/>
  <c r="E69" i="5"/>
  <c r="G69" i="5" s="1"/>
  <c r="C69" i="5"/>
  <c r="K68" i="5"/>
  <c r="G68" i="5"/>
  <c r="I68" i="5" s="1"/>
  <c r="E68" i="5"/>
  <c r="G67" i="5"/>
  <c r="E67" i="5"/>
  <c r="K66" i="5"/>
  <c r="G66" i="5"/>
  <c r="I66" i="5" s="1"/>
  <c r="E66" i="5"/>
  <c r="E65" i="5"/>
  <c r="G65" i="5" s="1"/>
  <c r="E64" i="5"/>
  <c r="G64" i="5" s="1"/>
  <c r="D64" i="5"/>
  <c r="D63" i="5"/>
  <c r="E63" i="5" s="1"/>
  <c r="G63" i="5" s="1"/>
  <c r="E62" i="5"/>
  <c r="G62" i="5" s="1"/>
  <c r="C61" i="5"/>
  <c r="E61" i="5" s="1"/>
  <c r="G61" i="5" s="1"/>
  <c r="E60" i="5"/>
  <c r="G60" i="5" s="1"/>
  <c r="K60" i="5" s="1"/>
  <c r="D60" i="5"/>
  <c r="E59" i="5"/>
  <c r="G59" i="5" s="1"/>
  <c r="D59" i="5"/>
  <c r="K58" i="5"/>
  <c r="G58" i="5"/>
  <c r="I58" i="5" s="1"/>
  <c r="E57" i="5"/>
  <c r="G57" i="5" s="1"/>
  <c r="E56" i="5"/>
  <c r="G56" i="5" s="1"/>
  <c r="K56" i="5" s="1"/>
  <c r="E55" i="5"/>
  <c r="G55" i="5" s="1"/>
  <c r="C55" i="5"/>
  <c r="K54" i="5"/>
  <c r="G54" i="5"/>
  <c r="I54" i="5" s="1"/>
  <c r="E54" i="5"/>
  <c r="G53" i="5"/>
  <c r="D53" i="5"/>
  <c r="E53" i="5" s="1"/>
  <c r="E52" i="5"/>
  <c r="G52" i="5" s="1"/>
  <c r="G51" i="5"/>
  <c r="E51" i="5"/>
  <c r="G50" i="5"/>
  <c r="I50" i="5" s="1"/>
  <c r="E50" i="5"/>
  <c r="D49" i="5"/>
  <c r="E49" i="5" s="1"/>
  <c r="G49" i="5" s="1"/>
  <c r="E48" i="5"/>
  <c r="G48" i="5" s="1"/>
  <c r="D48" i="5"/>
  <c r="K47" i="5"/>
  <c r="D47" i="5"/>
  <c r="E47" i="5" s="1"/>
  <c r="G47" i="5" s="1"/>
  <c r="I47" i="5" s="1"/>
  <c r="G46" i="5"/>
  <c r="E46" i="5"/>
  <c r="G45" i="5"/>
  <c r="I45" i="5" s="1"/>
  <c r="E45" i="5"/>
  <c r="K44" i="5"/>
  <c r="I44" i="5"/>
  <c r="E44" i="5"/>
  <c r="G44" i="5" s="1"/>
  <c r="J44" i="5" s="1"/>
  <c r="D44" i="5"/>
  <c r="G43" i="5"/>
  <c r="E43" i="5"/>
  <c r="D42" i="5"/>
  <c r="E42" i="5" s="1"/>
  <c r="G42" i="5" s="1"/>
  <c r="I42" i="5" s="1"/>
  <c r="E41" i="5"/>
  <c r="G41" i="5" s="1"/>
  <c r="K41" i="5" s="1"/>
  <c r="E40" i="5"/>
  <c r="G40" i="5" s="1"/>
  <c r="D40" i="5"/>
  <c r="D39" i="5"/>
  <c r="E39" i="5" s="1"/>
  <c r="G39" i="5" s="1"/>
  <c r="E38" i="5"/>
  <c r="G38" i="5" s="1"/>
  <c r="D38" i="5"/>
  <c r="K37" i="5"/>
  <c r="E37" i="5"/>
  <c r="G37" i="5" s="1"/>
  <c r="E36" i="5"/>
  <c r="G36" i="5" s="1"/>
  <c r="K36" i="5" s="1"/>
  <c r="D36" i="5"/>
  <c r="E35" i="5"/>
  <c r="G35" i="5" s="1"/>
  <c r="G34" i="5"/>
  <c r="I34" i="5" s="1"/>
  <c r="E34" i="5"/>
  <c r="E33" i="5"/>
  <c r="G33" i="5" s="1"/>
  <c r="K32" i="5"/>
  <c r="I32" i="5"/>
  <c r="E32" i="5"/>
  <c r="G32" i="5" s="1"/>
  <c r="J32" i="5" s="1"/>
  <c r="E31" i="5"/>
  <c r="G31" i="5" s="1"/>
  <c r="D31" i="5"/>
  <c r="D30" i="5"/>
  <c r="E30" i="5" s="1"/>
  <c r="G30" i="5" s="1"/>
  <c r="J30" i="5" s="1"/>
  <c r="E29" i="5"/>
  <c r="G29" i="5" s="1"/>
  <c r="K29" i="5" s="1"/>
  <c r="E28" i="5"/>
  <c r="G28" i="5" s="1"/>
  <c r="E27" i="5"/>
  <c r="G27" i="5" s="1"/>
  <c r="K27" i="5" s="1"/>
  <c r="C27" i="5"/>
  <c r="D26" i="5"/>
  <c r="E26" i="5" s="1"/>
  <c r="G26" i="5" s="1"/>
  <c r="C26" i="5"/>
  <c r="C25" i="5"/>
  <c r="E25" i="5" s="1"/>
  <c r="G25" i="5" s="1"/>
  <c r="I25" i="5" s="1"/>
  <c r="I24" i="5"/>
  <c r="E24" i="5"/>
  <c r="G24" i="5" s="1"/>
  <c r="K24" i="5" s="1"/>
  <c r="D24" i="5"/>
  <c r="C24" i="5"/>
  <c r="G23" i="5"/>
  <c r="E23" i="5"/>
  <c r="E22" i="5"/>
  <c r="G22" i="5" s="1"/>
  <c r="I21" i="5"/>
  <c r="E21" i="5"/>
  <c r="G21" i="5" s="1"/>
  <c r="K21" i="5" s="1"/>
  <c r="D21" i="5"/>
  <c r="D20" i="5"/>
  <c r="E20" i="5" s="1"/>
  <c r="G20" i="5" s="1"/>
  <c r="E19" i="5"/>
  <c r="G19" i="5" s="1"/>
  <c r="K19" i="5" s="1"/>
  <c r="D18" i="5"/>
  <c r="C18" i="5"/>
  <c r="E18" i="5" s="1"/>
  <c r="G18" i="5" s="1"/>
  <c r="E17" i="5"/>
  <c r="G17" i="5" s="1"/>
  <c r="D16" i="5"/>
  <c r="E16" i="5" s="1"/>
  <c r="G16" i="5" s="1"/>
  <c r="C16" i="5"/>
  <c r="D15" i="5"/>
  <c r="E15" i="5" s="1"/>
  <c r="G15" i="5" s="1"/>
  <c r="C15" i="5"/>
  <c r="D14" i="5"/>
  <c r="E14" i="5" s="1"/>
  <c r="G14" i="5" s="1"/>
  <c r="C14" i="5"/>
  <c r="E13" i="5"/>
  <c r="G13" i="5" s="1"/>
  <c r="I12" i="5"/>
  <c r="E12" i="5"/>
  <c r="G12" i="5" s="1"/>
  <c r="K12" i="5" s="1"/>
  <c r="C12" i="5"/>
  <c r="D11" i="5"/>
  <c r="E11" i="5" s="1"/>
  <c r="G11" i="5" s="1"/>
  <c r="E10" i="5"/>
  <c r="G10" i="5" s="1"/>
  <c r="K10" i="5" s="1"/>
  <c r="C10" i="5"/>
  <c r="D9" i="5"/>
  <c r="E9" i="5" s="1"/>
  <c r="G9" i="5" s="1"/>
  <c r="E8" i="5"/>
  <c r="G8" i="5" s="1"/>
  <c r="E7" i="5"/>
  <c r="G7" i="5" s="1"/>
  <c r="K7" i="5" s="1"/>
  <c r="C7" i="5"/>
  <c r="E6" i="5"/>
  <c r="G6" i="5" s="1"/>
  <c r="H70" i="5"/>
  <c r="F5" i="5"/>
  <c r="E5" i="5"/>
  <c r="G5" i="5" s="1"/>
  <c r="B2" i="8" l="1"/>
  <c r="B6" i="8" s="1"/>
  <c r="C35" i="7"/>
  <c r="G41" i="7"/>
  <c r="J45" i="7"/>
  <c r="E23" i="7"/>
  <c r="G45" i="7"/>
  <c r="C49" i="7"/>
  <c r="C46" i="7"/>
  <c r="C67" i="7" s="1"/>
  <c r="E41" i="7"/>
  <c r="D41" i="7" s="1"/>
  <c r="C58" i="7"/>
  <c r="E44" i="7"/>
  <c r="I30" i="7"/>
  <c r="E6" i="7"/>
  <c r="G6" i="7" s="1"/>
  <c r="K6" i="7" s="1"/>
  <c r="E26" i="7"/>
  <c r="G26" i="7" s="1"/>
  <c r="I26" i="7" s="1"/>
  <c r="E5" i="7"/>
  <c r="I11" i="7"/>
  <c r="K11" i="7"/>
  <c r="I14" i="7"/>
  <c r="K14" i="7"/>
  <c r="E27" i="7"/>
  <c r="G27" i="7" s="1"/>
  <c r="K27" i="7" s="1"/>
  <c r="E7" i="7"/>
  <c r="G7" i="7" s="1"/>
  <c r="K7" i="7" s="1"/>
  <c r="E8" i="7"/>
  <c r="G8" i="7" s="1"/>
  <c r="K8" i="7" s="1"/>
  <c r="E25" i="7"/>
  <c r="E28" i="7"/>
  <c r="G28" i="7" s="1"/>
  <c r="I28" i="7" s="1"/>
  <c r="C63" i="7"/>
  <c r="K15" i="7"/>
  <c r="I15" i="7"/>
  <c r="K33" i="7"/>
  <c r="I33" i="7"/>
  <c r="K21" i="7"/>
  <c r="I21" i="7"/>
  <c r="K10" i="7"/>
  <c r="I22" i="7"/>
  <c r="K22" i="7"/>
  <c r="I38" i="7"/>
  <c r="K38" i="7"/>
  <c r="K43" i="7"/>
  <c r="K44" i="7" s="1"/>
  <c r="I43" i="7"/>
  <c r="I44" i="7" s="1"/>
  <c r="I29" i="7"/>
  <c r="K29" i="7"/>
  <c r="K12" i="7"/>
  <c r="K31" i="7"/>
  <c r="I31" i="7"/>
  <c r="K13" i="7"/>
  <c r="I13" i="7"/>
  <c r="G19" i="7"/>
  <c r="G23" i="7" s="1"/>
  <c r="F23" i="7" s="1"/>
  <c r="I39" i="7"/>
  <c r="K39" i="7"/>
  <c r="I16" i="7"/>
  <c r="K16" i="7"/>
  <c r="I9" i="7"/>
  <c r="K9" i="7"/>
  <c r="I20" i="7"/>
  <c r="K20" i="7"/>
  <c r="K32" i="7"/>
  <c r="K40" i="7"/>
  <c r="I40" i="7"/>
  <c r="I68" i="6"/>
  <c r="K68" i="6"/>
  <c r="H114" i="6"/>
  <c r="C157" i="6" s="1"/>
  <c r="E16" i="6"/>
  <c r="G16" i="6" s="1"/>
  <c r="E92" i="6"/>
  <c r="G92" i="6" s="1"/>
  <c r="E137" i="6"/>
  <c r="E98" i="6"/>
  <c r="G98" i="6" s="1"/>
  <c r="I98" i="6" s="1"/>
  <c r="I65" i="6"/>
  <c r="K65" i="6"/>
  <c r="I45" i="6"/>
  <c r="J5" i="6"/>
  <c r="E94" i="6"/>
  <c r="G94" i="6" s="1"/>
  <c r="I94" i="6" s="1"/>
  <c r="E95" i="6"/>
  <c r="G95" i="6" s="1"/>
  <c r="I95" i="6" s="1"/>
  <c r="E138" i="6"/>
  <c r="G138" i="6" s="1"/>
  <c r="K138" i="6" s="1"/>
  <c r="E132" i="6"/>
  <c r="G132" i="6" s="1"/>
  <c r="I132" i="6" s="1"/>
  <c r="I15" i="6"/>
  <c r="E119" i="6"/>
  <c r="G119" i="6" s="1"/>
  <c r="J39" i="6"/>
  <c r="K39" i="6"/>
  <c r="J48" i="6"/>
  <c r="K48" i="6"/>
  <c r="I9" i="6"/>
  <c r="K9" i="6"/>
  <c r="K108" i="6"/>
  <c r="I108" i="6"/>
  <c r="J123" i="6"/>
  <c r="K123" i="6"/>
  <c r="I110" i="6"/>
  <c r="K110" i="6"/>
  <c r="K85" i="6"/>
  <c r="I85" i="6"/>
  <c r="I21" i="6"/>
  <c r="K21" i="6"/>
  <c r="J53" i="6"/>
  <c r="K53" i="6"/>
  <c r="K88" i="6"/>
  <c r="I88" i="6"/>
  <c r="I103" i="6"/>
  <c r="K103" i="6"/>
  <c r="I112" i="6"/>
  <c r="K112" i="6"/>
  <c r="K78" i="6"/>
  <c r="J55" i="6"/>
  <c r="I60" i="6"/>
  <c r="I70" i="6"/>
  <c r="I83" i="6"/>
  <c r="K120" i="6"/>
  <c r="E146" i="6"/>
  <c r="E147" i="6" s="1"/>
  <c r="E148" i="6" s="1"/>
  <c r="C172" i="6" s="1"/>
  <c r="K13" i="6"/>
  <c r="E97" i="6"/>
  <c r="G97" i="6" s="1"/>
  <c r="K97" i="6" s="1"/>
  <c r="E140" i="6"/>
  <c r="G140" i="6" s="1"/>
  <c r="K43" i="6"/>
  <c r="I62" i="6"/>
  <c r="H143" i="6"/>
  <c r="H149" i="6" s="1"/>
  <c r="C182" i="6" s="1"/>
  <c r="K12" i="6"/>
  <c r="I12" i="6"/>
  <c r="K11" i="6"/>
  <c r="I11" i="6"/>
  <c r="K57" i="6"/>
  <c r="I57" i="6"/>
  <c r="K50" i="6"/>
  <c r="I50" i="6"/>
  <c r="K33" i="6"/>
  <c r="G72" i="6"/>
  <c r="K25" i="6"/>
  <c r="I25" i="6"/>
  <c r="K16" i="6"/>
  <c r="I16" i="6"/>
  <c r="K18" i="6"/>
  <c r="I18" i="6"/>
  <c r="K17" i="6"/>
  <c r="J17" i="6"/>
  <c r="I17" i="6"/>
  <c r="K58" i="6"/>
  <c r="I58" i="6"/>
  <c r="K61" i="6"/>
  <c r="J61" i="6"/>
  <c r="I61" i="6"/>
  <c r="K71" i="6"/>
  <c r="I71" i="6"/>
  <c r="K91" i="6"/>
  <c r="I91" i="6"/>
  <c r="J122" i="6"/>
  <c r="I122" i="6"/>
  <c r="K122" i="6"/>
  <c r="K133" i="6"/>
  <c r="I133" i="6"/>
  <c r="K8" i="6"/>
  <c r="I8" i="6"/>
  <c r="K14" i="6"/>
  <c r="I14" i="6"/>
  <c r="K31" i="6"/>
  <c r="K49" i="6"/>
  <c r="I49" i="6"/>
  <c r="K76" i="6"/>
  <c r="K94" i="6"/>
  <c r="K102" i="6"/>
  <c r="I102" i="6"/>
  <c r="J105" i="6"/>
  <c r="K105" i="6"/>
  <c r="K128" i="6"/>
  <c r="I128" i="6"/>
  <c r="K139" i="6"/>
  <c r="I139" i="6"/>
  <c r="K40" i="6"/>
  <c r="K59" i="6"/>
  <c r="I59" i="6"/>
  <c r="K84" i="6"/>
  <c r="I84" i="6"/>
  <c r="K95" i="6"/>
  <c r="I129" i="6"/>
  <c r="K129" i="6"/>
  <c r="K32" i="6"/>
  <c r="J32" i="6"/>
  <c r="K41" i="6"/>
  <c r="I41" i="6"/>
  <c r="K46" i="6"/>
  <c r="J46" i="6"/>
  <c r="I46" i="6"/>
  <c r="K63" i="6"/>
  <c r="J63" i="6"/>
  <c r="I63" i="6"/>
  <c r="K67" i="6"/>
  <c r="J67" i="6"/>
  <c r="I80" i="6"/>
  <c r="K107" i="6"/>
  <c r="I107" i="6"/>
  <c r="I119" i="6"/>
  <c r="K119" i="6"/>
  <c r="K130" i="6"/>
  <c r="J130" i="6"/>
  <c r="I130" i="6"/>
  <c r="K66" i="6"/>
  <c r="J66" i="6"/>
  <c r="K42" i="6"/>
  <c r="I42" i="6"/>
  <c r="K47" i="6"/>
  <c r="I47" i="6"/>
  <c r="K51" i="6"/>
  <c r="I51" i="6"/>
  <c r="K64" i="6"/>
  <c r="I64" i="6"/>
  <c r="I74" i="6"/>
  <c r="G86" i="6"/>
  <c r="K81" i="6"/>
  <c r="J81" i="6"/>
  <c r="K96" i="6"/>
  <c r="I96" i="6"/>
  <c r="K124" i="6"/>
  <c r="K141" i="6"/>
  <c r="I141" i="6"/>
  <c r="K37" i="6"/>
  <c r="I37" i="6"/>
  <c r="K69" i="6"/>
  <c r="I69" i="6"/>
  <c r="K92" i="6"/>
  <c r="I92" i="6"/>
  <c r="K106" i="6"/>
  <c r="I106" i="6"/>
  <c r="K140" i="6"/>
  <c r="I140" i="6"/>
  <c r="I19" i="6"/>
  <c r="I23" i="6"/>
  <c r="K23" i="6"/>
  <c r="K26" i="6"/>
  <c r="K29" i="6"/>
  <c r="K38" i="6"/>
  <c r="K52" i="6"/>
  <c r="I52" i="6"/>
  <c r="K56" i="6"/>
  <c r="I56" i="6"/>
  <c r="K89" i="6"/>
  <c r="I89" i="6"/>
  <c r="I97" i="6"/>
  <c r="K99" i="6"/>
  <c r="I99" i="6"/>
  <c r="K125" i="6"/>
  <c r="K131" i="6"/>
  <c r="I131" i="6"/>
  <c r="K6" i="6"/>
  <c r="J6" i="6"/>
  <c r="C152" i="6"/>
  <c r="K93" i="6"/>
  <c r="I93" i="6"/>
  <c r="K100" i="6"/>
  <c r="J100" i="6"/>
  <c r="K126" i="6"/>
  <c r="J126" i="6"/>
  <c r="K7" i="6"/>
  <c r="I7" i="6"/>
  <c r="K44" i="6"/>
  <c r="I44" i="6"/>
  <c r="K28" i="6"/>
  <c r="I28" i="6"/>
  <c r="K34" i="6"/>
  <c r="J34" i="6"/>
  <c r="I34" i="6"/>
  <c r="K82" i="6"/>
  <c r="J82" i="6"/>
  <c r="E72" i="6"/>
  <c r="K10" i="6"/>
  <c r="K20" i="6"/>
  <c r="I20" i="6"/>
  <c r="K24" i="6"/>
  <c r="I24" i="6"/>
  <c r="K27" i="6"/>
  <c r="I27" i="6"/>
  <c r="K35" i="6"/>
  <c r="I35" i="6"/>
  <c r="K90" i="6"/>
  <c r="I90" i="6"/>
  <c r="K101" i="6"/>
  <c r="K111" i="6"/>
  <c r="I111" i="6"/>
  <c r="K121" i="6"/>
  <c r="I121" i="6"/>
  <c r="I127" i="6"/>
  <c r="K127" i="6"/>
  <c r="I109" i="6"/>
  <c r="I118" i="6"/>
  <c r="I134" i="6"/>
  <c r="I22" i="6"/>
  <c r="I30" i="6"/>
  <c r="I39" i="6"/>
  <c r="I54" i="6"/>
  <c r="I75" i="6"/>
  <c r="I77" i="6"/>
  <c r="I79" i="6"/>
  <c r="I104" i="6"/>
  <c r="I120" i="6"/>
  <c r="I123" i="6"/>
  <c r="E86" i="6"/>
  <c r="D86" i="6" s="1"/>
  <c r="G117" i="6"/>
  <c r="I48" i="6"/>
  <c r="I53" i="6"/>
  <c r="G137" i="6"/>
  <c r="I36" i="6"/>
  <c r="I39" i="5"/>
  <c r="K39" i="5"/>
  <c r="I16" i="5"/>
  <c r="K16" i="5"/>
  <c r="I63" i="5"/>
  <c r="K63" i="5"/>
  <c r="I49" i="5"/>
  <c r="K49" i="5"/>
  <c r="I9" i="5"/>
  <c r="K9" i="5"/>
  <c r="K18" i="5"/>
  <c r="I18" i="5"/>
  <c r="K15" i="5"/>
  <c r="I15" i="5"/>
  <c r="I26" i="5"/>
  <c r="K26" i="5"/>
  <c r="I41" i="5"/>
  <c r="K51" i="5"/>
  <c r="I51" i="5"/>
  <c r="J59" i="5"/>
  <c r="I59" i="5"/>
  <c r="K59" i="5"/>
  <c r="K102" i="5"/>
  <c r="I102" i="5"/>
  <c r="I20" i="5"/>
  <c r="K20" i="5"/>
  <c r="K34" i="5"/>
  <c r="K38" i="5"/>
  <c r="J38" i="5"/>
  <c r="K48" i="5"/>
  <c r="I48" i="5"/>
  <c r="K55" i="5"/>
  <c r="I55" i="5"/>
  <c r="I75" i="5"/>
  <c r="I83" i="5" s="1"/>
  <c r="K88" i="5"/>
  <c r="I88" i="5"/>
  <c r="I103" i="5"/>
  <c r="K103" i="5"/>
  <c r="K136" i="5"/>
  <c r="I136" i="5"/>
  <c r="I6" i="5"/>
  <c r="K6" i="5"/>
  <c r="K31" i="5"/>
  <c r="J31" i="5"/>
  <c r="K42" i="5"/>
  <c r="K52" i="5"/>
  <c r="I52" i="5"/>
  <c r="K67" i="5"/>
  <c r="I67" i="5"/>
  <c r="G70" i="5"/>
  <c r="K89" i="5"/>
  <c r="I89" i="5"/>
  <c r="K93" i="5"/>
  <c r="I93" i="5"/>
  <c r="K98" i="5"/>
  <c r="J98" i="5"/>
  <c r="K121" i="5"/>
  <c r="J121" i="5"/>
  <c r="I10" i="5"/>
  <c r="I14" i="5"/>
  <c r="K14" i="5"/>
  <c r="I17" i="5"/>
  <c r="K17" i="5"/>
  <c r="J17" i="5"/>
  <c r="I27" i="5"/>
  <c r="I56" i="5"/>
  <c r="I60" i="5"/>
  <c r="K64" i="5"/>
  <c r="J64" i="5"/>
  <c r="E83" i="5"/>
  <c r="D83" i="5" s="1"/>
  <c r="K80" i="5"/>
  <c r="E108" i="5"/>
  <c r="D108" i="5" s="1"/>
  <c r="G85" i="5"/>
  <c r="J117" i="5"/>
  <c r="I117" i="5"/>
  <c r="K117" i="5"/>
  <c r="K127" i="5"/>
  <c r="I127" i="5"/>
  <c r="E137" i="5"/>
  <c r="G132" i="5"/>
  <c r="C161" i="5"/>
  <c r="H144" i="5"/>
  <c r="C176" i="5" s="1"/>
  <c r="C147" i="5"/>
  <c r="C144" i="5"/>
  <c r="I11" i="5"/>
  <c r="K11" i="5"/>
  <c r="K28" i="5"/>
  <c r="I28" i="5"/>
  <c r="K43" i="5"/>
  <c r="I43" i="5"/>
  <c r="K46" i="5"/>
  <c r="I46" i="5"/>
  <c r="K53" i="5"/>
  <c r="J53" i="5"/>
  <c r="K57" i="5"/>
  <c r="I57" i="5"/>
  <c r="K61" i="5"/>
  <c r="I61" i="5"/>
  <c r="K65" i="5"/>
  <c r="J65" i="5"/>
  <c r="G83" i="5"/>
  <c r="F83" i="5" s="1"/>
  <c r="K72" i="5"/>
  <c r="K77" i="5"/>
  <c r="I77" i="5"/>
  <c r="J46" i="5"/>
  <c r="K81" i="5"/>
  <c r="I81" i="5"/>
  <c r="K94" i="5"/>
  <c r="I94" i="5"/>
  <c r="I7" i="5"/>
  <c r="J22" i="5"/>
  <c r="I22" i="5"/>
  <c r="I36" i="5"/>
  <c r="J61" i="5"/>
  <c r="I65" i="5"/>
  <c r="K86" i="5"/>
  <c r="I86" i="5"/>
  <c r="I90" i="5"/>
  <c r="K90" i="5"/>
  <c r="I114" i="5"/>
  <c r="K114" i="5"/>
  <c r="K128" i="5"/>
  <c r="I128" i="5"/>
  <c r="I5" i="5"/>
  <c r="K8" i="5"/>
  <c r="I8" i="5"/>
  <c r="K22" i="5"/>
  <c r="K25" i="5"/>
  <c r="I29" i="5"/>
  <c r="I33" i="5"/>
  <c r="K33" i="5"/>
  <c r="J37" i="5"/>
  <c r="I37" i="5"/>
  <c r="K40" i="5"/>
  <c r="I40" i="5"/>
  <c r="K62" i="5"/>
  <c r="I62" i="5"/>
  <c r="K95" i="5"/>
  <c r="J95" i="5"/>
  <c r="K100" i="5"/>
  <c r="J100" i="5"/>
  <c r="K106" i="5"/>
  <c r="I106" i="5"/>
  <c r="I123" i="5"/>
  <c r="K123" i="5"/>
  <c r="K134" i="5"/>
  <c r="I134" i="5"/>
  <c r="K82" i="5"/>
  <c r="I82" i="5"/>
  <c r="K87" i="5"/>
  <c r="I87" i="5"/>
  <c r="K91" i="5"/>
  <c r="I91" i="5"/>
  <c r="J96" i="5"/>
  <c r="K96" i="5"/>
  <c r="K101" i="5"/>
  <c r="I101" i="5"/>
  <c r="K107" i="5"/>
  <c r="I107" i="5"/>
  <c r="K119" i="5"/>
  <c r="J119" i="5"/>
  <c r="K124" i="5"/>
  <c r="I124" i="5"/>
  <c r="K135" i="5"/>
  <c r="I135" i="5"/>
  <c r="J13" i="5"/>
  <c r="I13" i="5"/>
  <c r="I19" i="5"/>
  <c r="K30" i="5"/>
  <c r="K125" i="5"/>
  <c r="I125" i="5"/>
  <c r="J125" i="5"/>
  <c r="K69" i="5"/>
  <c r="I69" i="5"/>
  <c r="K23" i="5"/>
  <c r="J23" i="5"/>
  <c r="I23" i="5"/>
  <c r="J79" i="5"/>
  <c r="J83" i="5" s="1"/>
  <c r="K79" i="5"/>
  <c r="K5" i="5"/>
  <c r="K13" i="5"/>
  <c r="J51" i="5"/>
  <c r="E70" i="5"/>
  <c r="K92" i="5"/>
  <c r="I92" i="5"/>
  <c r="K97" i="5"/>
  <c r="I97" i="5"/>
  <c r="K116" i="5"/>
  <c r="J116" i="5"/>
  <c r="J130" i="5" s="1"/>
  <c r="J138" i="5" s="1"/>
  <c r="K120" i="5"/>
  <c r="J120" i="5"/>
  <c r="I35" i="5"/>
  <c r="K35" i="5"/>
  <c r="K76" i="5"/>
  <c r="I76" i="5"/>
  <c r="H109" i="5"/>
  <c r="C152" i="5" s="1"/>
  <c r="E130" i="5"/>
  <c r="D130" i="5" s="1"/>
  <c r="K126" i="5"/>
  <c r="I126" i="5"/>
  <c r="K45" i="5"/>
  <c r="K50" i="5"/>
  <c r="K122" i="5"/>
  <c r="E141" i="5"/>
  <c r="I115" i="5"/>
  <c r="I118" i="5"/>
  <c r="I133" i="5"/>
  <c r="I99" i="5"/>
  <c r="G112" i="5"/>
  <c r="D2" i="8" l="1"/>
  <c r="E2" i="8" s="1"/>
  <c r="F2" i="8" s="1"/>
  <c r="F6" i="8" s="1"/>
  <c r="K41" i="7"/>
  <c r="G25" i="7"/>
  <c r="K25" i="7" s="1"/>
  <c r="E34" i="7"/>
  <c r="D34" i="7" s="1"/>
  <c r="G5" i="7"/>
  <c r="E17" i="7"/>
  <c r="F41" i="7"/>
  <c r="K45" i="7"/>
  <c r="I41" i="7"/>
  <c r="I45" i="7" s="1"/>
  <c r="E45" i="7"/>
  <c r="D44" i="7"/>
  <c r="K28" i="7"/>
  <c r="K26" i="7"/>
  <c r="K5" i="7"/>
  <c r="I6" i="7"/>
  <c r="I7" i="7"/>
  <c r="C70" i="7"/>
  <c r="I8" i="7"/>
  <c r="I27" i="7"/>
  <c r="K19" i="7"/>
  <c r="K23" i="7" s="1"/>
  <c r="I19" i="7"/>
  <c r="I23" i="7" s="1"/>
  <c r="J135" i="6"/>
  <c r="J143" i="6" s="1"/>
  <c r="K98" i="6"/>
  <c r="C166" i="6"/>
  <c r="K132" i="6"/>
  <c r="E142" i="6"/>
  <c r="D142" i="6" s="1"/>
  <c r="I138" i="6"/>
  <c r="E113" i="6"/>
  <c r="D113" i="6" s="1"/>
  <c r="E135" i="6"/>
  <c r="D135" i="6" s="1"/>
  <c r="G146" i="6"/>
  <c r="K146" i="6" s="1"/>
  <c r="K147" i="6" s="1"/>
  <c r="K148" i="6" s="1"/>
  <c r="I113" i="6"/>
  <c r="J113" i="6"/>
  <c r="J72" i="6"/>
  <c r="G135" i="6"/>
  <c r="F135" i="6" s="1"/>
  <c r="K117" i="6"/>
  <c r="K135" i="6" s="1"/>
  <c r="I117" i="6"/>
  <c r="I135" i="6" s="1"/>
  <c r="I72" i="6"/>
  <c r="F86" i="6"/>
  <c r="K86" i="6"/>
  <c r="I86" i="6"/>
  <c r="K113" i="6"/>
  <c r="I137" i="6"/>
  <c r="I142" i="6" s="1"/>
  <c r="K137" i="6"/>
  <c r="K142" i="6" s="1"/>
  <c r="G142" i="6"/>
  <c r="F72" i="6"/>
  <c r="G114" i="6"/>
  <c r="K72" i="6"/>
  <c r="D72" i="6"/>
  <c r="E114" i="6"/>
  <c r="C154" i="6" s="1"/>
  <c r="J86" i="6"/>
  <c r="G109" i="5"/>
  <c r="F70" i="5"/>
  <c r="K70" i="5"/>
  <c r="E109" i="5"/>
  <c r="D109" i="5" s="1"/>
  <c r="D70" i="5"/>
  <c r="I132" i="5"/>
  <c r="I137" i="5" s="1"/>
  <c r="I138" i="5" s="1"/>
  <c r="G137" i="5"/>
  <c r="K132" i="5"/>
  <c r="K137" i="5" s="1"/>
  <c r="J70" i="5"/>
  <c r="D137" i="5"/>
  <c r="E138" i="5"/>
  <c r="K83" i="5"/>
  <c r="E142" i="5"/>
  <c r="E143" i="5" s="1"/>
  <c r="C167" i="5" s="1"/>
  <c r="G141" i="5"/>
  <c r="I70" i="5"/>
  <c r="J108" i="5"/>
  <c r="K112" i="5"/>
  <c r="K130" i="5" s="1"/>
  <c r="G130" i="5"/>
  <c r="F130" i="5" s="1"/>
  <c r="I112" i="5"/>
  <c r="I130" i="5" s="1"/>
  <c r="G108" i="5"/>
  <c r="F108" i="5" s="1"/>
  <c r="K85" i="5"/>
  <c r="K108" i="5" s="1"/>
  <c r="K109" i="5" s="1"/>
  <c r="I85" i="5"/>
  <c r="I108" i="5" s="1"/>
  <c r="F45" i="7" l="1"/>
  <c r="E35" i="7"/>
  <c r="C51" i="7" s="1"/>
  <c r="D17" i="7"/>
  <c r="I5" i="7"/>
  <c r="I17" i="7" s="1"/>
  <c r="F17" i="7"/>
  <c r="I25" i="7"/>
  <c r="I34" i="7" s="1"/>
  <c r="G34" i="7"/>
  <c r="K34" i="7" s="1"/>
  <c r="C60" i="7"/>
  <c r="C59" i="7" s="1"/>
  <c r="J35" i="7"/>
  <c r="J46" i="7" s="1"/>
  <c r="F44" i="7"/>
  <c r="E143" i="6"/>
  <c r="F113" i="6"/>
  <c r="G147" i="6"/>
  <c r="G148" i="6" s="1"/>
  <c r="C174" i="6" s="1"/>
  <c r="C176" i="6" s="1"/>
  <c r="I146" i="6"/>
  <c r="I147" i="6" s="1"/>
  <c r="I148" i="6" s="1"/>
  <c r="I143" i="6"/>
  <c r="J114" i="6"/>
  <c r="J149" i="6" s="1"/>
  <c r="D114" i="6"/>
  <c r="C153" i="6"/>
  <c r="D143" i="6"/>
  <c r="C163" i="6"/>
  <c r="C162" i="6" s="1"/>
  <c r="E149" i="6"/>
  <c r="C180" i="6" s="1"/>
  <c r="G143" i="6"/>
  <c r="F142" i="6"/>
  <c r="K143" i="6"/>
  <c r="I114" i="6"/>
  <c r="K114" i="6"/>
  <c r="F114" i="6"/>
  <c r="C156" i="6"/>
  <c r="J109" i="5"/>
  <c r="J144" i="5" s="1"/>
  <c r="K138" i="5"/>
  <c r="I109" i="5"/>
  <c r="G138" i="5"/>
  <c r="F137" i="5"/>
  <c r="F109" i="5"/>
  <c r="C151" i="5"/>
  <c r="K141" i="5"/>
  <c r="K142" i="5" s="1"/>
  <c r="K143" i="5" s="1"/>
  <c r="K144" i="5" s="1"/>
  <c r="I141" i="5"/>
  <c r="I142" i="5" s="1"/>
  <c r="I143" i="5" s="1"/>
  <c r="G142" i="5"/>
  <c r="G143" i="5" s="1"/>
  <c r="C169" i="5" s="1"/>
  <c r="C171" i="5" s="1"/>
  <c r="D138" i="5"/>
  <c r="C158" i="5"/>
  <c r="C157" i="5" s="1"/>
  <c r="E144" i="5"/>
  <c r="I35" i="7" l="1"/>
  <c r="I46" i="7" s="1"/>
  <c r="F34" i="7"/>
  <c r="E46" i="7"/>
  <c r="F35" i="7"/>
  <c r="K17" i="7"/>
  <c r="K35" i="7"/>
  <c r="D46" i="7"/>
  <c r="D45" i="7"/>
  <c r="C50" i="7"/>
  <c r="D35" i="7"/>
  <c r="C62" i="7"/>
  <c r="C68" i="7"/>
  <c r="C158" i="6"/>
  <c r="I144" i="5"/>
  <c r="I149" i="6"/>
  <c r="C155" i="6"/>
  <c r="D149" i="6"/>
  <c r="C165" i="6"/>
  <c r="G149" i="6"/>
  <c r="C181" i="6" s="1"/>
  <c r="F143" i="6"/>
  <c r="C153" i="5"/>
  <c r="C150" i="5"/>
  <c r="D144" i="5"/>
  <c r="C174" i="5"/>
  <c r="C149" i="5"/>
  <c r="C148" i="5" s="1"/>
  <c r="C160" i="5"/>
  <c r="G144" i="5"/>
  <c r="F138" i="5"/>
  <c r="C53" i="7" l="1"/>
  <c r="G46" i="7"/>
  <c r="K46" i="7" s="1"/>
  <c r="C64" i="7"/>
  <c r="C61" i="7"/>
  <c r="K149" i="6"/>
  <c r="C183" i="6"/>
  <c r="F149" i="6"/>
  <c r="C167" i="6"/>
  <c r="C164" i="6"/>
  <c r="D175" i="5"/>
  <c r="C177" i="5" s="1"/>
  <c r="F144" i="5"/>
  <c r="C162" i="5"/>
  <c r="C159" i="5"/>
  <c r="F46" i="7" l="1"/>
  <c r="C69" i="7"/>
  <c r="C71" i="7" s="1"/>
  <c r="C52" i="7"/>
  <c r="C5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tc={DCC6549A-8C21-4206-9B8F-C0AD884FA744}</author>
    <author>tc={64BD907F-89AC-4489-814B-E2B2F0F5A4A9}</author>
  </authors>
  <commentList>
    <comment ref="U3" authorId="0" shapeId="0" xr:uid="{DCC6549A-8C21-4206-9B8F-C0AD884FA744}">
      <text>
        <t xml:space="preserve">[Threaded comment]
Your version of Excel allows you to read this threaded comment; however, any edits to it will get removed if the file is opened in a newer version of Excel. Learn more: https://go.microsoft.com/fwlink/?linkid=870924
Comment:
    Used numbers provided by SAs who indicated they do accept WIC CVB at farmers markets.  For those, that did not provide a number, we used the number of authorized farmers/markets in the FMNP.  For those that don't administer FMNP, we came up with an average number of 173 farmers/markets per SA. </t>
      </text>
    </comment>
    <comment ref="L80" authorId="1" shapeId="0" xr:uid="{64BD907F-89AC-4489-814B-E2B2F0F5A4A9}">
      <text>
        <t xml:space="preserve">[Threaded comment]
Your version of Excel allows you to read this threaded comment; however, any edits to it will get removed if the file is opened in a newer version of Excel. Learn more: https://go.microsoft.com/fwlink/?linkid=870924
Comment:
    first nut ed contact is done during certification. Was this counted for  in certification section? How about  in section 246.4 (state plan section) where Nut Ed may be reported in State plans.   For the second Nut Ed contact, it may have decreased due to online options.  I am just thinking that 1st Nut Ed contact may have been reported in State Plan or Certification sections.  Just to check for any duplication as Nut Ed is a regulatory requirement, I am not sure how this was missed previously. I think in this section we can estimate the 2nd Nut Ed  session because the first one is embedded in Certification section. Please let me know for any further discussions. Thanks
</t>
      </text>
    </comment>
  </commentList>
</comments>
</file>

<file path=xl/sharedStrings.xml><?xml version="1.0" encoding="utf-8"?>
<sst xmlns="http://schemas.openxmlformats.org/spreadsheetml/2006/main" count="916" uniqueCount="276">
  <si>
    <t xml:space="preserve">                 APPENDIX F:  WIC Burden Table                                            </t>
  </si>
  <si>
    <t>Number of respondents per category</t>
  </si>
  <si>
    <t>Regulatory Section</t>
  </si>
  <si>
    <t>Information Collected</t>
  </si>
  <si>
    <t>Estimated Number of Respondents</t>
  </si>
  <si>
    <t>Annual Responses per Respondent</t>
  </si>
  <si>
    <t>Total Annual Responses</t>
  </si>
  <si>
    <t>Number of Burden Hours per Request</t>
  </si>
  <si>
    <t>Estimated Total Burden Hours</t>
  </si>
  <si>
    <t>Previous Sumbission: Total Hours per Person</t>
  </si>
  <si>
    <t>Difference Due to Program Changes</t>
  </si>
  <si>
    <t>Difference Due to Adjustments</t>
  </si>
  <si>
    <t>Total Difference</t>
  </si>
  <si>
    <t>Explanation of Differences/Comments</t>
  </si>
  <si>
    <t>State Agencies</t>
  </si>
  <si>
    <t>Local Agencies</t>
  </si>
  <si>
    <t>Participants- Total</t>
  </si>
  <si>
    <t>Participants- Women</t>
  </si>
  <si>
    <t xml:space="preserve">Participants- Infants </t>
  </si>
  <si>
    <t>Participants- Children</t>
  </si>
  <si>
    <t>Vendors</t>
  </si>
  <si>
    <t>Farmers/Markets</t>
  </si>
  <si>
    <t>REPORTING BURDEN ESTIMATES</t>
  </si>
  <si>
    <t>Affected Public:  State and Local Agencies (including Indian Tribal Organizations and U.S. Territories)</t>
  </si>
  <si>
    <t>No Change</t>
  </si>
  <si>
    <t>Increase</t>
  </si>
  <si>
    <t>decrease</t>
  </si>
  <si>
    <t>N/A</t>
  </si>
  <si>
    <t>State Plan</t>
  </si>
  <si>
    <t>246.5(b)</t>
  </si>
  <si>
    <t>Local Agency (LA) applications</t>
  </si>
  <si>
    <t>246.5(c)(2)</t>
  </si>
  <si>
    <t>SA notification re not funding LA</t>
  </si>
  <si>
    <t>246.5(e)(3)(ii)</t>
  </si>
  <si>
    <t>SA notification of LA disqualification</t>
  </si>
  <si>
    <t>LA Agreements</t>
  </si>
  <si>
    <t>246.7(d)</t>
  </si>
  <si>
    <t>Provision of income eligibility determinations</t>
  </si>
  <si>
    <t>246.7(f)(2)(iii)(A)</t>
  </si>
  <si>
    <t>LA requests for notice extension</t>
  </si>
  <si>
    <t>246.7(i)</t>
  </si>
  <si>
    <t>Cert. data for women and children</t>
  </si>
  <si>
    <t>246.7(b),(i),(n)</t>
  </si>
  <si>
    <t xml:space="preserve">Cert. data for women </t>
  </si>
  <si>
    <t xml:space="preserve">Cert. data for children </t>
  </si>
  <si>
    <t xml:space="preserve">Certification data for infants </t>
  </si>
  <si>
    <t>246.7(j)(9)</t>
  </si>
  <si>
    <t>SA notification re funding shortfall</t>
  </si>
  <si>
    <t>246.7(k)</t>
  </si>
  <si>
    <t>Verification of Certification cards</t>
  </si>
  <si>
    <t>Provision of Non-English Materials</t>
  </si>
  <si>
    <t>246.9 (c)</t>
  </si>
  <si>
    <t>Informing WIC participants of the details of the appeal process and their individual rights.</t>
  </si>
  <si>
    <t>246.9 (h)</t>
  </si>
  <si>
    <t>Fair hearing procedures for participants</t>
  </si>
  <si>
    <t>246.10(b)(1)</t>
  </si>
  <si>
    <t>Identification of acceptable foods</t>
  </si>
  <si>
    <t>246.10(b(2)</t>
  </si>
  <si>
    <t>Submit APL as food list</t>
  </si>
  <si>
    <t>246.10(d)(1)</t>
  </si>
  <si>
    <t>Medical documentation, 1% of infants</t>
  </si>
  <si>
    <t>246.10(i)</t>
  </si>
  <si>
    <t>Plans for Substitutions</t>
  </si>
  <si>
    <t>246.11(d)(1), 246.7(b)</t>
  </si>
  <si>
    <t>LA nutrition education provision</t>
  </si>
  <si>
    <t>246.11(d)(2)</t>
  </si>
  <si>
    <t>LA nutrition education plan</t>
  </si>
  <si>
    <t>246.12(f)(3)</t>
  </si>
  <si>
    <t xml:space="preserve">Vendor identification </t>
  </si>
  <si>
    <t>246.12(f)(4)</t>
  </si>
  <si>
    <t>Split tender transactions</t>
  </si>
  <si>
    <t>246.12(g)(4)(i)</t>
  </si>
  <si>
    <t>Vendor food sales data</t>
  </si>
  <si>
    <t>246.12(g)(4)(ii)(B)</t>
  </si>
  <si>
    <t>Vendor shelf prices</t>
  </si>
  <si>
    <t xml:space="preserve">Vendor shelf prices exemption </t>
  </si>
  <si>
    <t>246.12(g)(4)(iii)</t>
  </si>
  <si>
    <t>Price Increases</t>
  </si>
  <si>
    <t>246.12(g)(5)</t>
  </si>
  <si>
    <t>Vendor initial preauthorization visits</t>
  </si>
  <si>
    <t>246.12(g)(8)</t>
  </si>
  <si>
    <t>Application periods</t>
  </si>
  <si>
    <t>246.12(h)</t>
  </si>
  <si>
    <t>Review Vendor applicaitons/agreements</t>
  </si>
  <si>
    <t>246.12(i)(1)</t>
  </si>
  <si>
    <t>Vendor training development</t>
  </si>
  <si>
    <t>Vendor training</t>
  </si>
  <si>
    <t>246.12(j)(2),(6)</t>
  </si>
  <si>
    <t>Routine vendor monitoring</t>
  </si>
  <si>
    <t>246.12(j)(4),(6)</t>
  </si>
  <si>
    <t>Vendor compliance investigations</t>
  </si>
  <si>
    <t>246.12(k)(5)</t>
  </si>
  <si>
    <t>FI and CVV redeemed after the specified period.</t>
  </si>
  <si>
    <t>246.12(l)(3)</t>
  </si>
  <si>
    <t>Notification of vendor violations</t>
  </si>
  <si>
    <t>246.12(m)</t>
  </si>
  <si>
    <t>Home food delivery systems</t>
  </si>
  <si>
    <t>246.12(o)</t>
  </si>
  <si>
    <t>Complaints</t>
  </si>
  <si>
    <t>246.12(p)</t>
  </si>
  <si>
    <t>Food instrument and cash-value voucher security</t>
  </si>
  <si>
    <t>246.12(q)</t>
  </si>
  <si>
    <t>Disposition of food instruments</t>
  </si>
  <si>
    <t>246.12(u)</t>
  </si>
  <si>
    <t>Participant Sanctions</t>
  </si>
  <si>
    <t>246.12(v)</t>
  </si>
  <si>
    <t>Farmers Market applications/agreements</t>
  </si>
  <si>
    <t>246.12(v)(6)</t>
  </si>
  <si>
    <t>Farmers Market Disqualificaitons</t>
  </si>
  <si>
    <t>246.12(bb)</t>
  </si>
  <si>
    <t>EBT Technical standards and requirements</t>
  </si>
  <si>
    <t>246.14(d)</t>
  </si>
  <si>
    <t>ADP proposals</t>
  </si>
  <si>
    <t>246.16(b)(3)(i)&amp;(ii)</t>
  </si>
  <si>
    <t>Food backspend and NSA spendforward authority</t>
  </si>
  <si>
    <t>246.16(d)</t>
  </si>
  <si>
    <t>Distribution of funds to LAs</t>
  </si>
  <si>
    <t>246.16(e)(2)(i) &amp; (ii)</t>
  </si>
  <si>
    <t xml:space="preserve">Food expenditure requirement waiver; NSA expenditure requirement good cause justification </t>
  </si>
  <si>
    <t>246.16a</t>
  </si>
  <si>
    <t>Infant Formula Cost Containment Procedures</t>
  </si>
  <si>
    <t>246.16a(f)</t>
  </si>
  <si>
    <t>Postponement Request</t>
  </si>
  <si>
    <t>246.16a(g)(1)-(4)</t>
  </si>
  <si>
    <t>Cost containment Procedures for other supplemental foods</t>
  </si>
  <si>
    <t>246.17(c)(1)</t>
  </si>
  <si>
    <t>Termination of SAs &amp; LAs</t>
  </si>
  <si>
    <t>Administrative Review of State agency actions</t>
  </si>
  <si>
    <t>246.19(a)(2)</t>
  </si>
  <si>
    <t>SA corrective action plans to FNS</t>
  </si>
  <si>
    <t>Observations</t>
  </si>
  <si>
    <t>246.19(b)(3)</t>
  </si>
  <si>
    <t>LA Monitoring</t>
  </si>
  <si>
    <t>246.19(b)(5)</t>
  </si>
  <si>
    <t>Targeted LA reviews</t>
  </si>
  <si>
    <t>246.20(a)(2)</t>
  </si>
  <si>
    <t>SA response to OIG audits</t>
  </si>
  <si>
    <t>246.20(b)</t>
  </si>
  <si>
    <t>SA Annual Audits</t>
  </si>
  <si>
    <t>246.22(b)(2)</t>
  </si>
  <si>
    <t>Administrative appeal</t>
  </si>
  <si>
    <t>246.23(a)(3)</t>
  </si>
  <si>
    <t>Claims against State agencies</t>
  </si>
  <si>
    <t>246.26(h)(3)</t>
  </si>
  <si>
    <t>Written agreements with public organization</t>
  </si>
  <si>
    <r>
      <t xml:space="preserve">Subtotal </t>
    </r>
    <r>
      <rPr>
        <b/>
        <i/>
        <sz val="11"/>
        <rFont val="Arial"/>
        <family val="2"/>
      </rPr>
      <t>Reporting: State and Local Agencies</t>
    </r>
  </si>
  <si>
    <t>Affected Public:  Individuals and Households:  Applicants for Program Benefits</t>
  </si>
  <si>
    <t>Cert. data for children</t>
  </si>
  <si>
    <t>246.7(o)</t>
  </si>
  <si>
    <t>Travel time for certification appointments</t>
  </si>
  <si>
    <t>Certification appointments</t>
  </si>
  <si>
    <t>Participant Appeals</t>
  </si>
  <si>
    <t>Medical documentation</t>
  </si>
  <si>
    <t>246.11(e)</t>
  </si>
  <si>
    <t xml:space="preserve">Nutrition Education </t>
  </si>
  <si>
    <t>246.12(r)(4)</t>
  </si>
  <si>
    <t>Offline EBT State agencies: Food instrument and cash-value voucher pick up (non-certification clinic visits)</t>
  </si>
  <si>
    <t>Online EBT State agencies: Food instrument and cash-value voucher pick up (non-certification clinic visits)</t>
  </si>
  <si>
    <t>Subtotal Reporting: Applicants</t>
  </si>
  <si>
    <t>Affected Public:  Business:  Retail Vendors (WIC-Authorized Food Stores) and Nonprofit Businesses</t>
  </si>
  <si>
    <t>Nonprofit Applicaitons</t>
  </si>
  <si>
    <t>Local Agency Agreements</t>
  </si>
  <si>
    <t>Vendor food sales data for A50s</t>
  </si>
  <si>
    <t xml:space="preserve">Vendor applications &amp; Agreements </t>
  </si>
  <si>
    <t>246.12(h)(3)(xiii)</t>
  </si>
  <si>
    <t>Vendor training of staff</t>
  </si>
  <si>
    <t>246.12(h)(8)(i)</t>
  </si>
  <si>
    <t>Vendor incentive items</t>
  </si>
  <si>
    <t>246.12(i)</t>
  </si>
  <si>
    <t>Vendor Training</t>
  </si>
  <si>
    <t xml:space="preserve">Farmer/Market applications &amp; agreements </t>
  </si>
  <si>
    <t>246.12(v)(1)(v)</t>
  </si>
  <si>
    <t>Farmer/Market Training</t>
  </si>
  <si>
    <t>Infant Formula Manufacturer Rebates</t>
  </si>
  <si>
    <t>246.18(a)(1)</t>
  </si>
  <si>
    <t>Vendor Appeals</t>
  </si>
  <si>
    <t>246.18(a)(4)</t>
  </si>
  <si>
    <t>Farmers Market Appeals</t>
  </si>
  <si>
    <t>Subtotal Reporting: Businesses</t>
  </si>
  <si>
    <t>GRAND SUBTOTAL: REPORTING</t>
  </si>
  <si>
    <t>RECORDKEEPING BURDEN ESTIMATES</t>
  </si>
  <si>
    <t>246.4(d)</t>
  </si>
  <si>
    <t>State Plan Record Maintenance</t>
  </si>
  <si>
    <t>246.12(g)(10)</t>
  </si>
  <si>
    <t>Vendor infant formula suppliers</t>
  </si>
  <si>
    <t>246.12(h)(1)(i)</t>
  </si>
  <si>
    <t xml:space="preserve">Vendor applications &amp; agreements </t>
  </si>
  <si>
    <t>246.12(i)(4)</t>
  </si>
  <si>
    <t>Vendor training content</t>
  </si>
  <si>
    <t>246.12(j)(6)</t>
  </si>
  <si>
    <t>246.12(j)(6)(ii)</t>
  </si>
  <si>
    <t>Vendor compliance Investigations</t>
  </si>
  <si>
    <t>Vendor notice of violations</t>
  </si>
  <si>
    <t>246.12(m)(2)(iii)</t>
  </si>
  <si>
    <t>246.19(b)</t>
  </si>
  <si>
    <t>SA Annual Audit</t>
  </si>
  <si>
    <t xml:space="preserve"> </t>
  </si>
  <si>
    <t>246.23(c)(1)</t>
  </si>
  <si>
    <t>Disposition of participant claims</t>
  </si>
  <si>
    <t>246.25(a)</t>
  </si>
  <si>
    <t>Financial ops. &amp; food delivery sys.</t>
  </si>
  <si>
    <t xml:space="preserve">Nutrition education for women, infants, and children </t>
  </si>
  <si>
    <t>Fair hearings</t>
  </si>
  <si>
    <t>Subtotal Recordkeeping: State and Local Agencies</t>
  </si>
  <si>
    <t>246.12(h)(3)(xvi)</t>
  </si>
  <si>
    <t>Vendor Inventory Records</t>
  </si>
  <si>
    <t>Subtotal Recordkeeping: Businesses</t>
  </si>
  <si>
    <t>GRAND SUBTOTAL:  RECORDKEEPING</t>
  </si>
  <si>
    <t>PUBLIC DISCLOSURE BURDEN ESTIMATES</t>
  </si>
  <si>
    <t>246.5(d)(2)</t>
  </si>
  <si>
    <t>SA Public Notice for new LA</t>
  </si>
  <si>
    <t>Subtotal Public Disclosure: State and Local Agencies</t>
  </si>
  <si>
    <t>GRAND SUBTOTAL:  PUBLIC DISCLOSURE</t>
  </si>
  <si>
    <t>GRAND TOTAL: REPORTING, RECORDKEEPING, and PUBLIC DISCLOSURE</t>
  </si>
  <si>
    <t>SUMMARY OF REPORTING BURDEN (OMB #0584-0043)</t>
  </si>
  <si>
    <t>TOTAL NO. RESPONDENTS</t>
  </si>
  <si>
    <t>AVERAGE NO. RESPONSES PER RESPONDENT</t>
  </si>
  <si>
    <t>TOTAL ANNUAL RESPONSES</t>
  </si>
  <si>
    <t>AVERAGE HOURS PER RESPONSE</t>
  </si>
  <si>
    <t>TOTAL ANNUAL BURDEN HOURS REQUESTED</t>
  </si>
  <si>
    <t>CURRENT OMB INVENTORY</t>
  </si>
  <si>
    <t>DIFFERENCE</t>
  </si>
  <si>
    <t>SUMMARY OF RECORDKEEPING BURDEN (OMB #0584-0043)</t>
  </si>
  <si>
    <t>TOTAL NO. RECORDKEEPERS</t>
  </si>
  <si>
    <t>SUMMARY OF PUBLIC DISCLOSURE BURDEN (OMB #0584-0043)</t>
  </si>
  <si>
    <t>ANNUAL REPORTING &amp; RECORDKEEPING BURDEN (OMB #0584-0043)</t>
  </si>
  <si>
    <t>GRAND TOTAL - RESPONSES</t>
  </si>
  <si>
    <t>GRAND TOTAL - ANNUAL BURDEN HOURS</t>
  </si>
  <si>
    <t>Explaining food package updates</t>
  </si>
  <si>
    <t>One-time burden to explain program changes in the final rule to participants.</t>
  </si>
  <si>
    <t>Increase in burden hours due to program change due to final rule.</t>
  </si>
  <si>
    <t>246.10(b)(2)</t>
  </si>
  <si>
    <t>246.10(b)(2)(i)</t>
  </si>
  <si>
    <t>LA training on revised food list</t>
  </si>
  <si>
    <t>One-time burden for SLT local agencies to attend training on revised food list.</t>
  </si>
  <si>
    <t xml:space="preserve">Decrease in number of retail vendors due to program change due to final rule. </t>
  </si>
  <si>
    <t>Nonprofit Applications</t>
  </si>
  <si>
    <t>One-time burden for non-profit local agencies to attend training on revised food list.</t>
  </si>
  <si>
    <t>ANNUAL TOTAL BURDEN (OMB #0584-0043)</t>
  </si>
  <si>
    <t>Increase in number of burden hours due to program change due to final rule.</t>
  </si>
  <si>
    <t xml:space="preserve">Increase in burden hours due to program change due to final rule. </t>
  </si>
  <si>
    <t>246.4(a)(30)</t>
  </si>
  <si>
    <t>Implementation of Alternate Operating Procedures</t>
  </si>
  <si>
    <t>246.16a(j)</t>
  </si>
  <si>
    <t>Infant formula cost containment contracts remedies</t>
  </si>
  <si>
    <t>Infant formula contracter action plan</t>
  </si>
  <si>
    <t>Increase in burden hours due to program change due to final  rule.</t>
  </si>
  <si>
    <t xml:space="preserve">246.4(a)(30); 246.16a(j) </t>
  </si>
  <si>
    <t>Emergency Period and Supply Chain Disruption Recordkeeping</t>
  </si>
  <si>
    <t>Infant formula contractor action plan</t>
  </si>
  <si>
    <t>GRAND TOTAL - RESPONDENTS</t>
  </si>
  <si>
    <t>Previous Submission Totals</t>
  </si>
  <si>
    <t>Previous Submission: Total Hours per Person</t>
  </si>
  <si>
    <t>Review Vendor applications/agreements</t>
  </si>
  <si>
    <t>Farmers' Market applications/agreements</t>
  </si>
  <si>
    <t>Farmers' Market Disqualifications</t>
  </si>
  <si>
    <t>Farmers' Market Appeals</t>
  </si>
  <si>
    <t>Respondent Type</t>
  </si>
  <si>
    <t>Mean Wage</t>
  </si>
  <si>
    <t>Base Annual</t>
  </si>
  <si>
    <t>Total Annaul Cost</t>
  </si>
  <si>
    <t>State and local agency staff</t>
  </si>
  <si>
    <t>Vendor staff</t>
  </si>
  <si>
    <t>Non-profit WIC local agency staff</t>
  </si>
  <si>
    <t>Applicants</t>
  </si>
  <si>
    <t>Totals</t>
  </si>
  <si>
    <t>Fringe (33%)</t>
  </si>
  <si>
    <t>Revised food list &amp; food packages training/implementation</t>
  </si>
  <si>
    <t>State agency burden for implementation and training activities related to the revised food lists and food packages in the final rule.</t>
  </si>
  <si>
    <t>246.10(b)(2)(i);
246.10(e)</t>
  </si>
  <si>
    <r>
      <t xml:space="preserve">Subtotal </t>
    </r>
    <r>
      <rPr>
        <b/>
        <i/>
        <sz val="11"/>
        <rFont val="Arial"/>
      </rPr>
      <t>Reporting: State and Local Agencies</t>
    </r>
  </si>
  <si>
    <r>
      <t xml:space="preserve">Subtotal </t>
    </r>
    <r>
      <rPr>
        <b/>
        <i/>
        <sz val="11"/>
        <rFont val="Arial"/>
        <family val="2"/>
      </rPr>
      <t>Reporting: Applicants</t>
    </r>
  </si>
  <si>
    <r>
      <t xml:space="preserve">Subtotal </t>
    </r>
    <r>
      <rPr>
        <b/>
        <i/>
        <sz val="11"/>
        <rFont val="Arial"/>
        <family val="2"/>
      </rPr>
      <t>Reporting: Businesses</t>
    </r>
  </si>
  <si>
    <r>
      <t xml:space="preserve">Subtotal </t>
    </r>
    <r>
      <rPr>
        <b/>
        <i/>
        <sz val="11"/>
        <rFont val="Arial"/>
        <family val="2"/>
      </rPr>
      <t>Recordkeeping: State and Local Agencies</t>
    </r>
  </si>
  <si>
    <r>
      <t xml:space="preserve">Subtotal </t>
    </r>
    <r>
      <rPr>
        <b/>
        <i/>
        <sz val="11"/>
        <rFont val="Arial"/>
        <family val="2"/>
      </rPr>
      <t>Recordkeeping: Businesses</t>
    </r>
  </si>
  <si>
    <t>Double Check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</si>
</sst>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000"/>
    <numFmt numFmtId="166" formatCode="_(* #,##0.0000_);_(* \(#,##0.0000\);_(* &quot;-&quot;??_);_(@_)"/>
  </numFmts>
  <fonts count="28" x14ac:knownFonts="1">
    <font>
      <sz val="10"/>
      <name val="Arial"/>
    </font>
    <font>
      <sz val="10"/>
      <name val="Arial"/>
      <family val="2"/>
    </font>
    <font>
      <sz val="11"/>
      <name val="Arial"/>
      <family val="2"/>
    </font>
    <font>
      <b/>
      <sz val="11"/>
      <name val="Arial"/>
      <family val="2"/>
    </font>
    <font>
      <i/>
      <sz val="11"/>
      <name val="Arial"/>
      <family val="2"/>
    </font>
    <font>
      <b/>
      <i/>
      <sz val="11"/>
      <name val="Arial"/>
      <family val="2"/>
    </font>
    <font>
      <sz val="10"/>
      <color rgb="FFFF0000"/>
      <name val="Arial"/>
      <family val="2"/>
    </font>
    <font>
      <sz val="11"/>
      <color rgb="FF000000"/>
      <name val="Arial"/>
      <family val="2"/>
    </font>
    <font>
      <sz val="11"/>
      <color rgb="FFFF0000"/>
      <name val="Arial"/>
      <family val="2"/>
    </font>
    <font>
      <b/>
      <sz val="11"/>
      <color rgb="FFFF0000"/>
      <name val="Arial"/>
      <family val="2"/>
    </font>
    <font>
      <i/>
      <sz val="11"/>
      <color rgb="FFFF0000"/>
      <name val="Arial"/>
      <family val="2"/>
    </font>
    <font>
      <sz val="11"/>
      <color rgb="FF444444"/>
      <name val="Arial"/>
      <family val="2"/>
    </font>
    <font>
      <b/>
      <sz val="11"/>
      <color rgb="FF000000"/>
      <name val="Arial"/>
      <family val="2"/>
    </font>
    <font>
      <i/>
      <sz val="11"/>
      <color rgb="FF000000"/>
      <name val="Arial"/>
      <family val="2"/>
    </font>
    <font>
      <b/>
      <sz val="11"/>
      <color indexed="8"/>
      <name val="Arial"/>
      <family val="2"/>
    </font>
    <font>
      <sz val="10"/>
      <name val="Arial"/>
    </font>
    <font>
      <b/>
      <sz val="10"/>
      <name val="Arial"/>
      <family val="2"/>
    </font>
    <font>
      <b/>
      <i/>
      <sz val="11"/>
      <name val="Arial"/>
    </font>
    <font>
      <b/>
      <sz val="11"/>
      <name val="Arial"/>
    </font>
    <font>
      <sz val="11"/>
      <name val="Arial"/>
    </font>
    <font>
      <sz val="11"/>
      <color rgb="FF444444"/>
      <name val="Arial"/>
    </font>
    <font>
      <i/>
      <sz val="11"/>
      <name val="Arial"/>
    </font>
    <font>
      <sz val="11"/>
      <color rgb="FFFF0000"/>
      <name val="Arial"/>
    </font>
    <font>
      <sz val="11"/>
      <color rgb="FF000000"/>
      <name val="Arial"/>
    </font>
    <font>
      <b/>
      <sz val="11"/>
      <color rgb="FFFF0000"/>
      <name val="Arial"/>
    </font>
    <font>
      <i/>
      <sz val="11"/>
      <color rgb="FFFF0000"/>
      <name val="Arial"/>
    </font>
    <font>
      <sz val="10"/>
      <color rgb="FFFF0000"/>
      <name val="Arial"/>
    </font>
    <font>
      <b/>
      <sz val="11"/>
      <color indexed="8"/>
      <name val="Arial"/>
    </font>
  </fonts>
  <fills count="17">
    <fill>
      <patternFill patternType="none"/>
    </fill>
    <fill>
      <patternFill patternType="gray125"/>
    </fill>
    <fill>
      <patternFill patternType="solid">
        <fgColor them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C7B6CC"/>
        <bgColor indexed="64"/>
      </patternFill>
    </fill>
    <fill>
      <patternFill patternType="solid">
        <fgColor theme="0"/>
        <bgColor indexed="64"/>
      </patternFill>
    </fill>
    <fill>
      <patternFill patternType="solid">
        <fgColor rgb="FFF2F2F2"/>
        <bgColor rgb="FF000000"/>
      </patternFill>
    </fill>
    <fill>
      <patternFill patternType="solid">
        <fgColor rgb="FFFFFF00"/>
        <bgColor indexed="64"/>
      </patternFill>
    </fill>
    <fill>
      <patternFill patternType="solid">
        <fgColor rgb="FFF2F2F2"/>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s>
  <borders count="4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3" tint="0.79998168889431442"/>
      </top>
      <bottom style="thin">
        <color theme="3" tint="0.79998168889431442"/>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rgb="FF000000"/>
      </right>
      <top/>
      <bottom/>
      <diagonal/>
    </border>
    <border>
      <left style="thin">
        <color indexed="64"/>
      </left>
      <right/>
      <top style="medium">
        <color indexed="64"/>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rgb="FF000000"/>
      </right>
      <top style="medium">
        <color indexed="64"/>
      </top>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rgb="FF000000"/>
      </right>
      <top style="medium">
        <color indexed="64"/>
      </top>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
      <left style="thin">
        <color indexed="64"/>
      </left>
      <right style="thin">
        <color rgb="FF000000"/>
      </right>
      <top/>
      <bottom/>
      <diagonal/>
    </border>
    <border>
      <left style="thin">
        <color rgb="FF000000"/>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 fillId="0" borderId="0"/>
    <xf numFmtId="44" fontId="15" fillId="0" borderId="0" applyFont="0" applyFill="0" applyBorder="0" applyAlignment="0" applyProtection="0"/>
    <xf numFmtId="9" fontId="15" fillId="0" borderId="0" applyFont="0" applyFill="0" applyBorder="0" applyAlignment="0" applyProtection="0"/>
  </cellStyleXfs>
  <cellXfs count="489">
    <xf numFmtId="0" fontId="0" fillId="0" borderId="0" xfId="0"/>
    <xf numFmtId="0" fontId="2" fillId="0" borderId="16" xfId="0" applyFont="1" applyBorder="1" applyAlignment="1">
      <alignment horizontal="center" vertical="center" wrapText="1"/>
    </xf>
    <xf numFmtId="0" fontId="2" fillId="0" borderId="0" xfId="0" applyFont="1" applyAlignment="1">
      <alignment wrapText="1"/>
    </xf>
    <xf numFmtId="3" fontId="3" fillId="7" borderId="7" xfId="1" applyNumberFormat="1" applyFont="1" applyFill="1" applyBorder="1" applyAlignment="1">
      <alignment horizontal="right" vertical="center" wrapText="1"/>
    </xf>
    <xf numFmtId="3" fontId="3" fillId="6" borderId="7" xfId="1" applyNumberFormat="1" applyFont="1" applyFill="1" applyBorder="1" applyAlignment="1">
      <alignment horizontal="right" vertical="center" wrapText="1"/>
    </xf>
    <xf numFmtId="4" fontId="2" fillId="0" borderId="5" xfId="1" applyNumberFormat="1" applyFont="1" applyFill="1" applyBorder="1" applyAlignment="1">
      <alignment horizontal="right" vertical="center" wrapText="1"/>
    </xf>
    <xf numFmtId="4" fontId="2" fillId="0" borderId="3" xfId="1" applyNumberFormat="1" applyFont="1" applyFill="1" applyBorder="1" applyAlignment="1">
      <alignment horizontal="right" vertical="center" wrapText="1"/>
    </xf>
    <xf numFmtId="4" fontId="4" fillId="0" borderId="3" xfId="1" applyNumberFormat="1" applyFont="1" applyFill="1" applyBorder="1" applyAlignment="1">
      <alignment horizontal="right" vertical="center" wrapText="1"/>
    </xf>
    <xf numFmtId="4" fontId="2" fillId="0" borderId="0" xfId="1" applyNumberFormat="1" applyFont="1" applyFill="1" applyBorder="1" applyAlignment="1">
      <alignment horizontal="right" vertical="center" wrapText="1"/>
    </xf>
    <xf numFmtId="4" fontId="3" fillId="6" borderId="7" xfId="1" applyNumberFormat="1" applyFont="1" applyFill="1" applyBorder="1" applyAlignment="1">
      <alignment horizontal="right" vertical="center" wrapText="1"/>
    </xf>
    <xf numFmtId="4" fontId="2" fillId="0" borderId="3" xfId="0" applyNumberFormat="1" applyFont="1" applyBorder="1" applyAlignment="1">
      <alignment horizontal="right" vertical="center" wrapText="1"/>
    </xf>
    <xf numFmtId="3" fontId="3" fillId="0" borderId="0" xfId="0" applyNumberFormat="1" applyFont="1" applyAlignment="1">
      <alignment wrapText="1"/>
    </xf>
    <xf numFmtId="4" fontId="3" fillId="7" borderId="10" xfId="1" applyNumberFormat="1" applyFont="1" applyFill="1" applyBorder="1" applyAlignment="1">
      <alignment horizontal="right" vertical="center" wrapText="1"/>
    </xf>
    <xf numFmtId="4" fontId="3" fillId="7" borderId="7" xfId="1" applyNumberFormat="1" applyFont="1" applyFill="1" applyBorder="1" applyAlignment="1">
      <alignment horizontal="right" vertical="center" wrapText="1"/>
    </xf>
    <xf numFmtId="4" fontId="2" fillId="0" borderId="0" xfId="0" applyNumberFormat="1" applyFont="1" applyAlignment="1">
      <alignment wrapText="1"/>
    </xf>
    <xf numFmtId="4" fontId="2" fillId="8" borderId="3" xfId="1" applyNumberFormat="1" applyFont="1" applyFill="1" applyBorder="1" applyAlignment="1">
      <alignment horizontal="right" vertical="center" wrapText="1"/>
    </xf>
    <xf numFmtId="0" fontId="2" fillId="0" borderId="0" xfId="0" applyFont="1"/>
    <xf numFmtId="0" fontId="2" fillId="0" borderId="3" xfId="0" applyFont="1" applyBorder="1" applyAlignment="1">
      <alignment horizontal="left" vertical="center" wrapText="1"/>
    </xf>
    <xf numFmtId="4" fontId="8" fillId="8" borderId="3" xfId="1" applyNumberFormat="1" applyFont="1" applyFill="1" applyBorder="1" applyAlignment="1">
      <alignment horizontal="right" vertical="center" wrapText="1"/>
    </xf>
    <xf numFmtId="4" fontId="6" fillId="0" borderId="3" xfId="0" applyNumberFormat="1" applyFont="1" applyBorder="1" applyAlignment="1">
      <alignment vertical="center" wrapText="1"/>
    </xf>
    <xf numFmtId="4" fontId="8" fillId="0" borderId="3" xfId="1" applyNumberFormat="1" applyFont="1" applyFill="1" applyBorder="1" applyAlignment="1">
      <alignment horizontal="right" vertical="center" wrapText="1"/>
    </xf>
    <xf numFmtId="4" fontId="8" fillId="0" borderId="5" xfId="1" applyNumberFormat="1" applyFont="1" applyFill="1" applyBorder="1" applyAlignment="1">
      <alignment horizontal="right" vertical="center" wrapText="1"/>
    </xf>
    <xf numFmtId="4" fontId="10" fillId="0" borderId="3" xfId="1" applyNumberFormat="1" applyFont="1" applyFill="1" applyBorder="1" applyAlignment="1">
      <alignment horizontal="right" vertical="center" wrapText="1"/>
    </xf>
    <xf numFmtId="43" fontId="3" fillId="0" borderId="7" xfId="1" applyFont="1" applyBorder="1" applyAlignment="1">
      <alignment horizontal="center" vertical="center" wrapText="1"/>
    </xf>
    <xf numFmtId="43" fontId="3" fillId="8" borderId="7" xfId="1" applyFont="1" applyFill="1" applyBorder="1" applyAlignment="1">
      <alignment horizontal="center" vertical="center" wrapText="1"/>
    </xf>
    <xf numFmtId="4" fontId="2" fillId="0" borderId="4" xfId="0" applyNumberFormat="1" applyFont="1" applyBorder="1" applyAlignment="1">
      <alignment horizontal="right" vertical="center" wrapText="1"/>
    </xf>
    <xf numFmtId="4" fontId="4" fillId="0" borderId="4" xfId="1" applyNumberFormat="1" applyFont="1" applyFill="1" applyBorder="1" applyAlignment="1">
      <alignment horizontal="right" vertical="center" wrapText="1"/>
    </xf>
    <xf numFmtId="49" fontId="6" fillId="0" borderId="3" xfId="0" applyNumberFormat="1" applyFont="1" applyBorder="1" applyAlignment="1">
      <alignment vertical="center" wrapText="1"/>
    </xf>
    <xf numFmtId="3" fontId="7" fillId="0" borderId="0" xfId="0" applyNumberFormat="1" applyFont="1"/>
    <xf numFmtId="3" fontId="2" fillId="0" borderId="0" xfId="0" applyNumberFormat="1" applyFont="1"/>
    <xf numFmtId="4" fontId="6" fillId="0" borderId="4" xfId="0" applyNumberFormat="1" applyFont="1" applyBorder="1" applyAlignment="1">
      <alignment vertical="center" wrapText="1"/>
    </xf>
    <xf numFmtId="0" fontId="2" fillId="0" borderId="0" xfId="2" applyFont="1" applyAlignment="1">
      <alignment horizontal="center" vertical="center" wrapText="1"/>
    </xf>
    <xf numFmtId="0" fontId="11" fillId="0" borderId="0" xfId="2" applyFont="1"/>
    <xf numFmtId="0" fontId="2" fillId="0" borderId="0" xfId="2" applyFont="1" applyAlignment="1">
      <alignment horizontal="center" vertical="center"/>
    </xf>
    <xf numFmtId="43" fontId="3" fillId="0" borderId="0" xfId="1" applyFont="1" applyBorder="1" applyAlignment="1">
      <alignment horizontal="center" vertical="center" wrapText="1"/>
    </xf>
    <xf numFmtId="43" fontId="3" fillId="0" borderId="20" xfId="1" applyFont="1" applyBorder="1" applyAlignment="1">
      <alignment horizontal="center" vertical="center" wrapText="1"/>
    </xf>
    <xf numFmtId="43" fontId="3" fillId="8" borderId="0" xfId="1" applyFont="1" applyFill="1" applyBorder="1" applyAlignment="1">
      <alignment horizontal="center" vertical="center" wrapText="1"/>
    </xf>
    <xf numFmtId="43" fontId="3" fillId="0" borderId="1" xfId="1" applyFont="1" applyBorder="1" applyAlignment="1">
      <alignment horizontal="center" vertical="center" wrapText="1"/>
    </xf>
    <xf numFmtId="43" fontId="3" fillId="8" borderId="20" xfId="1" applyFont="1" applyFill="1" applyBorder="1" applyAlignment="1">
      <alignment horizontal="center" vertical="center" wrapText="1"/>
    </xf>
    <xf numFmtId="0" fontId="2" fillId="0" borderId="16" xfId="2" applyFont="1" applyBorder="1" applyAlignment="1">
      <alignment horizontal="left" vertical="center" wrapText="1"/>
    </xf>
    <xf numFmtId="0" fontId="8" fillId="0" borderId="0" xfId="2" applyFont="1" applyAlignment="1">
      <alignment horizontal="center" vertical="center" wrapText="1"/>
    </xf>
    <xf numFmtId="0" fontId="7" fillId="0" borderId="0" xfId="2" applyFont="1" applyAlignment="1">
      <alignment horizontal="center" vertical="center" wrapText="1"/>
    </xf>
    <xf numFmtId="43" fontId="7" fillId="0" borderId="0" xfId="1" applyFont="1" applyFill="1" applyBorder="1" applyAlignment="1">
      <alignment horizontal="center" vertical="center" wrapText="1"/>
    </xf>
    <xf numFmtId="0" fontId="9" fillId="0" borderId="0" xfId="2" applyFont="1" applyAlignment="1">
      <alignment horizontal="center" vertical="center" wrapText="1"/>
    </xf>
    <xf numFmtId="3" fontId="2"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3" fontId="8" fillId="0" borderId="0" xfId="2" applyNumberFormat="1" applyFont="1" applyAlignment="1">
      <alignment wrapText="1"/>
    </xf>
    <xf numFmtId="0" fontId="3" fillId="0" borderId="0" xfId="2" applyFont="1" applyAlignment="1">
      <alignment horizontal="center" vertical="center" wrapText="1"/>
    </xf>
    <xf numFmtId="0" fontId="11" fillId="0" borderId="0" xfId="2" applyFont="1" applyAlignment="1">
      <alignment horizontal="right"/>
    </xf>
    <xf numFmtId="3" fontId="7" fillId="0" borderId="0" xfId="2" applyNumberFormat="1" applyFont="1" applyAlignment="1">
      <alignment horizontal="right" vertical="center" wrapText="1"/>
    </xf>
    <xf numFmtId="0" fontId="12" fillId="0" borderId="3" xfId="2" applyFont="1" applyBorder="1" applyAlignment="1">
      <alignment horizontal="left" vertical="center" wrapText="1"/>
    </xf>
    <xf numFmtId="0" fontId="2" fillId="0" borderId="3" xfId="2" applyFont="1" applyBorder="1" applyAlignment="1">
      <alignment horizontal="left" vertical="center" wrapText="1"/>
    </xf>
    <xf numFmtId="4" fontId="2" fillId="0" borderId="3" xfId="2" applyNumberFormat="1" applyFont="1" applyBorder="1" applyAlignment="1">
      <alignment horizontal="right" vertical="center" wrapText="1"/>
    </xf>
    <xf numFmtId="4" fontId="2" fillId="0" borderId="3" xfId="2" applyNumberFormat="1" applyFont="1" applyBorder="1" applyAlignment="1">
      <alignment horizontal="left" vertical="center" wrapText="1"/>
    </xf>
    <xf numFmtId="0" fontId="2" fillId="0" borderId="0" xfId="2" applyFont="1" applyAlignment="1">
      <alignment wrapText="1"/>
    </xf>
    <xf numFmtId="4" fontId="2" fillId="0" borderId="0" xfId="2" applyNumberFormat="1" applyFont="1" applyAlignment="1">
      <alignment wrapText="1"/>
    </xf>
    <xf numFmtId="3" fontId="8" fillId="0" borderId="0" xfId="2" applyNumberFormat="1" applyFont="1" applyAlignment="1">
      <alignment horizontal="right" vertical="center" wrapText="1"/>
    </xf>
    <xf numFmtId="0" fontId="9" fillId="0" borderId="0" xfId="2" applyFont="1" applyAlignment="1">
      <alignment horizontal="left" vertical="center" wrapText="1"/>
    </xf>
    <xf numFmtId="0" fontId="2" fillId="0" borderId="3" xfId="2" applyFont="1" applyBorder="1" applyAlignment="1">
      <alignment horizontal="left" vertical="center"/>
    </xf>
    <xf numFmtId="0" fontId="8" fillId="0" borderId="0" xfId="2" applyFont="1" applyAlignment="1">
      <alignment wrapText="1"/>
    </xf>
    <xf numFmtId="0" fontId="9" fillId="0" borderId="3" xfId="2" applyFont="1" applyBorder="1" applyAlignment="1">
      <alignment horizontal="left" vertical="center" wrapText="1"/>
    </xf>
    <xf numFmtId="0" fontId="8" fillId="0" borderId="3" xfId="2" applyFont="1" applyBorder="1" applyAlignment="1">
      <alignment horizontal="left" vertical="center" wrapText="1"/>
    </xf>
    <xf numFmtId="4" fontId="8" fillId="0" borderId="3" xfId="2" applyNumberFormat="1" applyFont="1" applyBorder="1" applyAlignment="1">
      <alignment horizontal="right" vertical="center" wrapText="1"/>
    </xf>
    <xf numFmtId="43" fontId="2" fillId="0" borderId="0" xfId="1" applyFont="1" applyAlignment="1">
      <alignment wrapText="1"/>
    </xf>
    <xf numFmtId="164" fontId="2" fillId="0" borderId="0" xfId="2" applyNumberFormat="1" applyFont="1" applyAlignment="1">
      <alignment wrapText="1"/>
    </xf>
    <xf numFmtId="0" fontId="7" fillId="0" borderId="3" xfId="2" applyFont="1" applyBorder="1" applyAlignment="1">
      <alignment horizontal="left" vertical="center" wrapText="1"/>
    </xf>
    <xf numFmtId="4" fontId="7" fillId="0" borderId="3" xfId="1" applyNumberFormat="1" applyFont="1" applyFill="1" applyBorder="1" applyAlignment="1">
      <alignment horizontal="right" vertical="center" wrapText="1"/>
    </xf>
    <xf numFmtId="4" fontId="7" fillId="0" borderId="5" xfId="1" applyNumberFormat="1" applyFont="1" applyFill="1" applyBorder="1" applyAlignment="1">
      <alignment horizontal="right" vertical="center" wrapText="1"/>
    </xf>
    <xf numFmtId="4" fontId="7" fillId="8" borderId="3" xfId="1" applyNumberFormat="1" applyFont="1" applyFill="1" applyBorder="1" applyAlignment="1">
      <alignment horizontal="right" vertical="center" wrapText="1"/>
    </xf>
    <xf numFmtId="4" fontId="13" fillId="0" borderId="3" xfId="1" applyNumberFormat="1" applyFont="1" applyFill="1" applyBorder="1" applyAlignment="1">
      <alignment horizontal="right" vertical="center" wrapText="1"/>
    </xf>
    <xf numFmtId="49" fontId="12" fillId="0" borderId="3" xfId="2" applyNumberFormat="1" applyFont="1" applyBorder="1" applyAlignment="1">
      <alignment horizontal="left" vertical="center" wrapText="1"/>
    </xf>
    <xf numFmtId="49" fontId="12" fillId="0" borderId="22" xfId="2" applyNumberFormat="1" applyFont="1" applyBorder="1" applyAlignment="1">
      <alignment horizontal="left" vertical="center" wrapText="1"/>
    </xf>
    <xf numFmtId="0" fontId="2" fillId="0" borderId="0" xfId="2" applyFont="1" applyAlignment="1">
      <alignment horizontal="left" vertical="center" wrapText="1"/>
    </xf>
    <xf numFmtId="0" fontId="12" fillId="0" borderId="22" xfId="2" applyFont="1" applyBorder="1" applyAlignment="1">
      <alignment horizontal="left" vertical="center"/>
    </xf>
    <xf numFmtId="0" fontId="2" fillId="0" borderId="22" xfId="2" applyFont="1" applyBorder="1" applyAlignment="1">
      <alignment horizontal="left" vertical="center" wrapText="1"/>
    </xf>
    <xf numFmtId="3" fontId="3" fillId="7" borderId="21" xfId="1" applyNumberFormat="1" applyFont="1" applyFill="1" applyBorder="1" applyAlignment="1">
      <alignment horizontal="right" vertical="center" wrapText="1"/>
    </xf>
    <xf numFmtId="4" fontId="3" fillId="7" borderId="21" xfId="1" applyNumberFormat="1" applyFont="1" applyFill="1" applyBorder="1" applyAlignment="1">
      <alignment horizontal="right" vertical="center" wrapText="1"/>
    </xf>
    <xf numFmtId="3" fontId="5" fillId="7" borderId="21" xfId="1" applyNumberFormat="1" applyFont="1" applyFill="1" applyBorder="1" applyAlignment="1">
      <alignment horizontal="right" vertical="center" wrapText="1"/>
    </xf>
    <xf numFmtId="4" fontId="3" fillId="7" borderId="23" xfId="1" applyNumberFormat="1" applyFont="1" applyFill="1" applyBorder="1" applyAlignment="1">
      <alignment horizontal="right" vertical="center" wrapText="1"/>
    </xf>
    <xf numFmtId="4" fontId="3" fillId="9" borderId="24" xfId="2" applyNumberFormat="1" applyFont="1" applyFill="1" applyBorder="1" applyAlignment="1">
      <alignment horizontal="right" vertical="center" wrapText="1"/>
    </xf>
    <xf numFmtId="4" fontId="2" fillId="7" borderId="14" xfId="2" applyNumberFormat="1" applyFont="1" applyFill="1" applyBorder="1" applyAlignment="1">
      <alignment horizontal="left" vertical="center" wrapText="1"/>
    </xf>
    <xf numFmtId="4" fontId="2" fillId="0" borderId="4" xfId="2" applyNumberFormat="1" applyFont="1" applyBorder="1" applyAlignment="1">
      <alignment horizontal="right" vertical="center" wrapText="1"/>
    </xf>
    <xf numFmtId="0" fontId="12" fillId="0" borderId="22" xfId="2" applyFont="1" applyBorder="1" applyAlignment="1">
      <alignment horizontal="left" vertical="center" wrapText="1"/>
    </xf>
    <xf numFmtId="0" fontId="7" fillId="0" borderId="22" xfId="2" applyFont="1" applyBorder="1" applyAlignment="1">
      <alignment wrapText="1"/>
    </xf>
    <xf numFmtId="3" fontId="3" fillId="7" borderId="13" xfId="1" applyNumberFormat="1" applyFont="1" applyFill="1" applyBorder="1" applyAlignment="1">
      <alignment horizontal="right" vertical="center" wrapText="1"/>
    </xf>
    <xf numFmtId="4" fontId="3" fillId="7" borderId="28" xfId="1" applyNumberFormat="1" applyFont="1" applyFill="1" applyBorder="1" applyAlignment="1">
      <alignment horizontal="right" vertical="center" wrapText="1"/>
    </xf>
    <xf numFmtId="0" fontId="7" fillId="0" borderId="22" xfId="2" applyFont="1" applyBorder="1" applyAlignment="1">
      <alignment horizontal="left" vertical="center"/>
    </xf>
    <xf numFmtId="0" fontId="2" fillId="0" borderId="22" xfId="2" applyFont="1" applyBorder="1" applyAlignment="1">
      <alignment horizontal="right" vertical="center"/>
    </xf>
    <xf numFmtId="0" fontId="2" fillId="8" borderId="22" xfId="2" applyFont="1" applyFill="1" applyBorder="1" applyAlignment="1">
      <alignment horizontal="right" vertical="center"/>
    </xf>
    <xf numFmtId="0" fontId="2" fillId="0" borderId="0" xfId="2" applyFont="1" applyAlignment="1">
      <alignment horizontal="right" vertical="center"/>
    </xf>
    <xf numFmtId="0" fontId="2" fillId="8" borderId="29" xfId="2" applyFont="1" applyFill="1" applyBorder="1" applyAlignment="1">
      <alignment horizontal="right" vertical="center"/>
    </xf>
    <xf numFmtId="4" fontId="2" fillId="0" borderId="22" xfId="2" applyNumberFormat="1" applyFont="1" applyBorder="1" applyAlignment="1">
      <alignment horizontal="right" vertical="center"/>
    </xf>
    <xf numFmtId="4" fontId="2" fillId="8" borderId="29" xfId="2" applyNumberFormat="1" applyFont="1" applyFill="1" applyBorder="1" applyAlignment="1">
      <alignment horizontal="right" vertical="center"/>
    </xf>
    <xf numFmtId="2" fontId="2" fillId="0" borderId="22" xfId="2" applyNumberFormat="1" applyFont="1" applyBorder="1" applyAlignment="1">
      <alignment horizontal="right" vertical="center"/>
    </xf>
    <xf numFmtId="4" fontId="2" fillId="8" borderId="29" xfId="1" applyNumberFormat="1" applyFont="1" applyFill="1" applyBorder="1" applyAlignment="1">
      <alignment horizontal="right" vertical="center" wrapText="1"/>
    </xf>
    <xf numFmtId="0" fontId="12" fillId="0" borderId="4" xfId="2" applyFont="1" applyBorder="1" applyAlignment="1">
      <alignment horizontal="left" vertical="center" wrapText="1"/>
    </xf>
    <xf numFmtId="0" fontId="2" fillId="0" borderId="4" xfId="2" applyFont="1" applyBorder="1" applyAlignment="1">
      <alignment horizontal="left" vertical="center" wrapText="1"/>
    </xf>
    <xf numFmtId="3" fontId="3" fillId="7" borderId="30" xfId="1" applyNumberFormat="1" applyFont="1" applyFill="1" applyBorder="1" applyAlignment="1">
      <alignment horizontal="right" vertical="center" wrapText="1"/>
    </xf>
    <xf numFmtId="4" fontId="3" fillId="7" borderId="31" xfId="1" applyNumberFormat="1" applyFont="1" applyFill="1" applyBorder="1" applyAlignment="1">
      <alignment horizontal="right" vertical="center" wrapText="1"/>
    </xf>
    <xf numFmtId="3" fontId="3" fillId="7" borderId="31" xfId="1" applyNumberFormat="1" applyFont="1" applyFill="1" applyBorder="1" applyAlignment="1">
      <alignment horizontal="right" vertical="center" wrapText="1"/>
    </xf>
    <xf numFmtId="4" fontId="3" fillId="7" borderId="8" xfId="1" applyNumberFormat="1" applyFont="1" applyFill="1" applyBorder="1" applyAlignment="1">
      <alignment horizontal="right" vertical="center" wrapText="1"/>
    </xf>
    <xf numFmtId="3" fontId="5" fillId="7" borderId="31" xfId="1" applyNumberFormat="1" applyFont="1" applyFill="1" applyBorder="1" applyAlignment="1">
      <alignment horizontal="right" vertical="center" wrapText="1"/>
    </xf>
    <xf numFmtId="4" fontId="3" fillId="7" borderId="30" xfId="1" applyNumberFormat="1" applyFont="1" applyFill="1" applyBorder="1" applyAlignment="1">
      <alignment horizontal="right" vertical="center" wrapText="1"/>
    </xf>
    <xf numFmtId="3" fontId="3" fillId="7" borderId="17" xfId="1" applyNumberFormat="1" applyFont="1" applyFill="1" applyBorder="1" applyAlignment="1">
      <alignment horizontal="right" vertical="center" wrapText="1"/>
    </xf>
    <xf numFmtId="4" fontId="3" fillId="7" borderId="9" xfId="1" applyNumberFormat="1" applyFont="1" applyFill="1" applyBorder="1" applyAlignment="1">
      <alignment horizontal="right" vertical="center" wrapText="1"/>
    </xf>
    <xf numFmtId="3" fontId="5" fillId="7" borderId="17" xfId="1" applyNumberFormat="1" applyFont="1" applyFill="1" applyBorder="1" applyAlignment="1">
      <alignment horizontal="right" vertical="center" wrapText="1"/>
    </xf>
    <xf numFmtId="3" fontId="3" fillId="7" borderId="15" xfId="1" applyNumberFormat="1" applyFont="1" applyFill="1" applyBorder="1" applyAlignment="1">
      <alignment horizontal="right" vertical="center" wrapText="1"/>
    </xf>
    <xf numFmtId="4" fontId="2" fillId="7" borderId="15" xfId="2" applyNumberFormat="1" applyFont="1" applyFill="1" applyBorder="1" applyAlignment="1">
      <alignment horizontal="left" vertical="center" wrapText="1"/>
    </xf>
    <xf numFmtId="0" fontId="2" fillId="8" borderId="22" xfId="2" applyFont="1" applyFill="1" applyBorder="1" applyAlignment="1">
      <alignment horizontal="right" vertical="center" wrapText="1"/>
    </xf>
    <xf numFmtId="0" fontId="4" fillId="0" borderId="22" xfId="2" applyFont="1" applyBorder="1" applyAlignment="1">
      <alignment horizontal="right" vertical="center" wrapText="1"/>
    </xf>
    <xf numFmtId="4" fontId="2" fillId="8" borderId="22" xfId="2" applyNumberFormat="1" applyFont="1" applyFill="1" applyBorder="1" applyAlignment="1">
      <alignment horizontal="right" vertical="center" wrapText="1"/>
    </xf>
    <xf numFmtId="4" fontId="2" fillId="0" borderId="35" xfId="1" applyNumberFormat="1" applyFont="1" applyFill="1" applyBorder="1" applyAlignment="1">
      <alignment horizontal="right" vertical="center" wrapText="1"/>
    </xf>
    <xf numFmtId="4" fontId="2" fillId="0" borderId="22" xfId="2" applyNumberFormat="1" applyFont="1" applyBorder="1" applyAlignment="1">
      <alignment horizontal="right" vertical="center" wrapText="1"/>
    </xf>
    <xf numFmtId="0" fontId="9" fillId="0" borderId="4" xfId="2" applyFont="1" applyBorder="1" applyAlignment="1">
      <alignment horizontal="left" vertical="center" wrapText="1"/>
    </xf>
    <xf numFmtId="2" fontId="2" fillId="0" borderId="22" xfId="2" applyNumberFormat="1" applyFont="1" applyBorder="1" applyAlignment="1">
      <alignment horizontal="right" vertical="center" wrapText="1"/>
    </xf>
    <xf numFmtId="0" fontId="12" fillId="0" borderId="0" xfId="2" applyFont="1" applyAlignment="1">
      <alignment horizontal="left" vertical="center" wrapText="1"/>
    </xf>
    <xf numFmtId="0" fontId="2" fillId="0" borderId="36" xfId="2" applyFont="1" applyBorder="1" applyAlignment="1">
      <alignment horizontal="left" vertical="center" wrapText="1"/>
    </xf>
    <xf numFmtId="4" fontId="2" fillId="0" borderId="36" xfId="1" applyNumberFormat="1" applyFont="1" applyFill="1" applyBorder="1" applyAlignment="1">
      <alignment horizontal="right" vertical="center" wrapText="1"/>
    </xf>
    <xf numFmtId="4" fontId="2" fillId="8" borderId="29" xfId="2" applyNumberFormat="1" applyFont="1" applyFill="1" applyBorder="1" applyAlignment="1">
      <alignment horizontal="right" vertical="center" wrapText="1"/>
    </xf>
    <xf numFmtId="165" fontId="2" fillId="0" borderId="36" xfId="1" applyNumberFormat="1" applyFont="1" applyFill="1" applyBorder="1" applyAlignment="1">
      <alignment horizontal="right" vertical="center" wrapText="1"/>
    </xf>
    <xf numFmtId="4" fontId="4" fillId="0" borderId="29" xfId="1" applyNumberFormat="1" applyFont="1" applyFill="1" applyBorder="1" applyAlignment="1">
      <alignment horizontal="right" vertical="center" wrapText="1"/>
    </xf>
    <xf numFmtId="2" fontId="2" fillId="0" borderId="35" xfId="1" applyNumberFormat="1" applyFont="1" applyFill="1" applyBorder="1" applyAlignment="1">
      <alignment horizontal="right" vertical="center" wrapText="1"/>
    </xf>
    <xf numFmtId="4" fontId="4" fillId="0" borderId="22" xfId="1" applyNumberFormat="1" applyFont="1" applyFill="1" applyBorder="1" applyAlignment="1">
      <alignment horizontal="right" vertical="center" wrapText="1"/>
    </xf>
    <xf numFmtId="3" fontId="5" fillId="7" borderId="7" xfId="1" applyNumberFormat="1" applyFont="1" applyFill="1" applyBorder="1" applyAlignment="1">
      <alignment horizontal="right" vertical="center" wrapText="1"/>
    </xf>
    <xf numFmtId="4" fontId="2" fillId="7" borderId="7" xfId="2" applyNumberFormat="1" applyFont="1" applyFill="1" applyBorder="1" applyAlignment="1">
      <alignment horizontal="left" vertical="center" wrapText="1"/>
    </xf>
    <xf numFmtId="4" fontId="2" fillId="0" borderId="0" xfId="2" applyNumberFormat="1" applyFont="1" applyAlignment="1">
      <alignment horizontal="right" vertical="center" wrapText="1"/>
    </xf>
    <xf numFmtId="3" fontId="5" fillId="6" borderId="7" xfId="1" applyNumberFormat="1" applyFont="1" applyFill="1" applyBorder="1" applyAlignment="1">
      <alignment horizontal="right" vertical="center" wrapText="1"/>
    </xf>
    <xf numFmtId="3" fontId="3" fillId="6" borderId="17" xfId="1" applyNumberFormat="1" applyFont="1" applyFill="1" applyBorder="1" applyAlignment="1">
      <alignment horizontal="right" vertical="center" wrapText="1"/>
    </xf>
    <xf numFmtId="4" fontId="2" fillId="6" borderId="17" xfId="2" applyNumberFormat="1" applyFont="1" applyFill="1" applyBorder="1" applyAlignment="1">
      <alignment horizontal="left" vertical="center" wrapText="1"/>
    </xf>
    <xf numFmtId="0" fontId="2" fillId="0" borderId="0" xfId="2" applyFont="1" applyAlignment="1">
      <alignment horizontal="left" wrapText="1"/>
    </xf>
    <xf numFmtId="3" fontId="3" fillId="0" borderId="0" xfId="2" applyNumberFormat="1" applyFont="1" applyAlignment="1">
      <alignment wrapText="1"/>
    </xf>
    <xf numFmtId="3" fontId="7" fillId="0" borderId="0" xfId="2" applyNumberFormat="1" applyFont="1"/>
    <xf numFmtId="3" fontId="2" fillId="0" borderId="0" xfId="2" applyNumberFormat="1" applyFont="1"/>
    <xf numFmtId="37" fontId="14" fillId="0" borderId="8" xfId="2" applyNumberFormat="1" applyFont="1" applyBorder="1" applyAlignment="1">
      <alignment horizontal="left" vertical="center" wrapText="1"/>
    </xf>
    <xf numFmtId="3" fontId="3" fillId="0" borderId="8" xfId="2" applyNumberFormat="1" applyFont="1" applyBorder="1" applyAlignment="1">
      <alignment horizontal="right" vertical="center" wrapText="1"/>
    </xf>
    <xf numFmtId="4" fontId="8" fillId="0" borderId="4" xfId="2" applyNumberFormat="1" applyFont="1" applyBorder="1" applyAlignment="1">
      <alignment horizontal="right" vertical="center" wrapText="1"/>
    </xf>
    <xf numFmtId="43" fontId="8" fillId="0" borderId="0" xfId="1" applyFont="1" applyAlignment="1">
      <alignment horizontal="right" vertical="center" wrapText="1"/>
    </xf>
    <xf numFmtId="43" fontId="8" fillId="0" borderId="0" xfId="1" applyFont="1" applyAlignment="1">
      <alignment horizontal="right" vertical="center"/>
    </xf>
    <xf numFmtId="0" fontId="6" fillId="0" borderId="3" xfId="2" applyFont="1" applyBorder="1" applyAlignment="1">
      <alignment horizontal="left" vertical="center" wrapText="1"/>
    </xf>
    <xf numFmtId="2" fontId="8" fillId="0" borderId="22" xfId="2" applyNumberFormat="1" applyFont="1" applyBorder="1" applyAlignment="1">
      <alignment horizontal="right" vertical="center"/>
    </xf>
    <xf numFmtId="4" fontId="8" fillId="8" borderId="22" xfId="2" applyNumberFormat="1" applyFont="1" applyFill="1" applyBorder="1" applyAlignment="1">
      <alignment horizontal="right" vertical="center"/>
    </xf>
    <xf numFmtId="4" fontId="8" fillId="8" borderId="29" xfId="2" applyNumberFormat="1" applyFont="1" applyFill="1" applyBorder="1" applyAlignment="1">
      <alignment horizontal="right" vertical="center"/>
    </xf>
    <xf numFmtId="4" fontId="8" fillId="0" borderId="22" xfId="2" applyNumberFormat="1" applyFont="1" applyBorder="1" applyAlignment="1">
      <alignment horizontal="right" vertical="center"/>
    </xf>
    <xf numFmtId="43" fontId="2" fillId="0" borderId="3" xfId="1" applyFont="1" applyFill="1" applyBorder="1" applyAlignment="1">
      <alignment horizontal="right" vertical="center" wrapText="1"/>
    </xf>
    <xf numFmtId="43" fontId="8" fillId="0" borderId="3" xfId="1" applyFont="1" applyFill="1" applyBorder="1" applyAlignment="1">
      <alignment horizontal="right" vertical="center" wrapText="1"/>
    </xf>
    <xf numFmtId="43" fontId="2" fillId="0" borderId="22" xfId="1" applyFont="1" applyBorder="1" applyAlignment="1">
      <alignment horizontal="right" vertical="center" indent="1"/>
    </xf>
    <xf numFmtId="43" fontId="8" fillId="0" borderId="22" xfId="1" applyFont="1" applyBorder="1" applyAlignment="1">
      <alignment horizontal="right" vertical="center" indent="1"/>
    </xf>
    <xf numFmtId="2" fontId="2" fillId="0" borderId="3" xfId="1" applyNumberFormat="1" applyFont="1" applyFill="1" applyBorder="1" applyAlignment="1">
      <alignment horizontal="right" vertical="center" wrapText="1"/>
    </xf>
    <xf numFmtId="43" fontId="4" fillId="0" borderId="4" xfId="1" applyFont="1" applyFill="1" applyBorder="1" applyAlignment="1">
      <alignment horizontal="right" vertical="center" wrapText="1"/>
    </xf>
    <xf numFmtId="39" fontId="4" fillId="0" borderId="22" xfId="1" applyNumberFormat="1" applyFont="1" applyBorder="1" applyAlignment="1">
      <alignment horizontal="right" vertical="center"/>
    </xf>
    <xf numFmtId="39" fontId="10" fillId="0" borderId="22" xfId="1" applyNumberFormat="1" applyFont="1" applyBorder="1" applyAlignment="1">
      <alignment horizontal="right" vertical="center"/>
    </xf>
    <xf numFmtId="4" fontId="8" fillId="8" borderId="22" xfId="2" applyNumberFormat="1" applyFont="1" applyFill="1" applyBorder="1" applyAlignment="1">
      <alignment horizontal="right" vertical="center" wrapText="1"/>
    </xf>
    <xf numFmtId="4" fontId="8" fillId="0" borderId="35" xfId="1" applyNumberFormat="1" applyFont="1" applyFill="1" applyBorder="1" applyAlignment="1">
      <alignment horizontal="right" vertical="center" wrapText="1"/>
    </xf>
    <xf numFmtId="2" fontId="8" fillId="0" borderId="22" xfId="2" applyNumberFormat="1" applyFont="1" applyBorder="1" applyAlignment="1">
      <alignment horizontal="right" vertical="center" wrapText="1"/>
    </xf>
    <xf numFmtId="4" fontId="8" fillId="0" borderId="22" xfId="2" applyNumberFormat="1" applyFont="1" applyBorder="1" applyAlignment="1">
      <alignment horizontal="right" vertical="center" wrapText="1"/>
    </xf>
    <xf numFmtId="3" fontId="2" fillId="0" borderId="0" xfId="2" applyNumberFormat="1" applyFont="1" applyAlignment="1">
      <alignment wrapText="1"/>
    </xf>
    <xf numFmtId="10" fontId="7" fillId="0" borderId="0" xfId="2" applyNumberFormat="1" applyFont="1"/>
    <xf numFmtId="0" fontId="3" fillId="0" borderId="7" xfId="2" applyFont="1" applyBorder="1" applyAlignment="1">
      <alignment horizontal="center" vertical="center" wrapText="1"/>
    </xf>
    <xf numFmtId="0" fontId="2" fillId="0" borderId="37" xfId="2" applyFont="1" applyBorder="1" applyAlignment="1">
      <alignment horizontal="center" vertical="center" wrapText="1"/>
    </xf>
    <xf numFmtId="0" fontId="4" fillId="0" borderId="7" xfId="2" applyFont="1" applyBorder="1" applyAlignment="1">
      <alignment horizontal="center" vertical="center" wrapText="1"/>
    </xf>
    <xf numFmtId="0" fontId="2" fillId="0" borderId="6" xfId="2" applyFont="1" applyBorder="1" applyAlignment="1">
      <alignment horizontal="center" vertical="center" wrapText="1"/>
    </xf>
    <xf numFmtId="4" fontId="2" fillId="0" borderId="7" xfId="2" applyNumberFormat="1"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2" fillId="0" borderId="0" xfId="0" applyFont="1" applyAlignment="1">
      <alignment horizontal="center" vertical="center"/>
    </xf>
    <xf numFmtId="0" fontId="3" fillId="0" borderId="20" xfId="0" applyFont="1" applyBorder="1" applyAlignment="1">
      <alignment horizontal="center" vertical="center" wrapText="1"/>
    </xf>
    <xf numFmtId="0" fontId="3" fillId="0" borderId="2" xfId="0" applyFont="1" applyBorder="1" applyAlignment="1">
      <alignment horizontal="left" vertical="center" wrapText="1"/>
    </xf>
    <xf numFmtId="0" fontId="4" fillId="0" borderId="4" xfId="0" applyFont="1" applyBorder="1" applyAlignment="1">
      <alignment horizontal="center" vertical="center" wrapText="1"/>
    </xf>
    <xf numFmtId="4" fontId="2" fillId="0" borderId="21" xfId="0" applyNumberFormat="1" applyFont="1" applyBorder="1" applyAlignment="1">
      <alignment horizontal="center" vertical="center" wrapText="1"/>
    </xf>
    <xf numFmtId="0" fontId="2" fillId="0" borderId="16" xfId="0" applyFont="1" applyBorder="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3" fontId="2"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3" fontId="8" fillId="0" borderId="0" xfId="0" applyNumberFormat="1" applyFont="1" applyAlignment="1">
      <alignment wrapText="1"/>
    </xf>
    <xf numFmtId="0" fontId="3" fillId="0" borderId="0" xfId="0" applyFont="1" applyAlignment="1">
      <alignment horizontal="center" vertical="center" wrapText="1"/>
    </xf>
    <xf numFmtId="0" fontId="11" fillId="0" borderId="0" xfId="0" applyFont="1" applyAlignment="1">
      <alignment horizontal="right"/>
    </xf>
    <xf numFmtId="3" fontId="7" fillId="0" borderId="0" xfId="0" applyNumberFormat="1" applyFont="1" applyAlignment="1">
      <alignment horizontal="right" vertical="center" wrapText="1"/>
    </xf>
    <xf numFmtId="0" fontId="1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3" fontId="8" fillId="0" borderId="0" xfId="0" applyNumberFormat="1" applyFont="1" applyAlignment="1">
      <alignment horizontal="right" vertical="center" wrapText="1"/>
    </xf>
    <xf numFmtId="0" fontId="9" fillId="0" borderId="0" xfId="0" applyFont="1" applyAlignment="1">
      <alignment horizontal="left" vertical="center" wrapText="1"/>
    </xf>
    <xf numFmtId="0" fontId="2" fillId="10" borderId="39" xfId="0" applyFont="1" applyFill="1" applyBorder="1" applyAlignment="1">
      <alignment vertical="center" wrapText="1"/>
    </xf>
    <xf numFmtId="0" fontId="2" fillId="0" borderId="3" xfId="0" applyFont="1" applyBorder="1" applyAlignment="1">
      <alignment horizontal="left" vertical="center"/>
    </xf>
    <xf numFmtId="0" fontId="8" fillId="0" borderId="0" xfId="0" applyFont="1" applyAlignment="1">
      <alignment wrapText="1"/>
    </xf>
    <xf numFmtId="164" fontId="2" fillId="0" borderId="0" xfId="0" applyNumberFormat="1" applyFont="1" applyAlignment="1">
      <alignment wrapText="1"/>
    </xf>
    <xf numFmtId="0" fontId="7" fillId="0" borderId="3" xfId="0" applyFont="1" applyBorder="1" applyAlignment="1">
      <alignment horizontal="left" vertical="center" wrapText="1"/>
    </xf>
    <xf numFmtId="4" fontId="7" fillId="0" borderId="3" xfId="0" applyNumberFormat="1" applyFont="1" applyBorder="1" applyAlignment="1">
      <alignment horizontal="left" vertical="center" wrapText="1"/>
    </xf>
    <xf numFmtId="4" fontId="2" fillId="0" borderId="19" xfId="0" applyNumberFormat="1" applyFont="1" applyBorder="1" applyAlignment="1">
      <alignment horizontal="left" vertical="center" wrapText="1"/>
    </xf>
    <xf numFmtId="0" fontId="2" fillId="0" borderId="18" xfId="0" applyFont="1" applyBorder="1" applyAlignment="1">
      <alignment horizontal="left" vertical="center" wrapText="1"/>
    </xf>
    <xf numFmtId="4" fontId="2" fillId="0" borderId="18" xfId="0" applyNumberFormat="1" applyFont="1" applyBorder="1" applyAlignment="1">
      <alignment horizontal="left" vertical="center" wrapText="1"/>
    </xf>
    <xf numFmtId="4" fontId="2" fillId="0" borderId="35" xfId="0" applyNumberFormat="1" applyFont="1" applyBorder="1" applyAlignment="1">
      <alignment horizontal="left" vertical="center" wrapText="1"/>
    </xf>
    <xf numFmtId="0" fontId="2" fillId="0" borderId="22" xfId="0"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22" xfId="0" applyNumberFormat="1" applyFont="1" applyBorder="1" applyAlignment="1">
      <alignment horizontal="left" vertical="center" wrapText="1"/>
    </xf>
    <xf numFmtId="0" fontId="2" fillId="0" borderId="0" xfId="0" applyFont="1" applyAlignment="1">
      <alignment horizontal="left" vertical="center" wrapText="1"/>
    </xf>
    <xf numFmtId="0" fontId="7" fillId="0" borderId="22" xfId="0" applyFont="1" applyBorder="1" applyAlignment="1">
      <alignment horizontal="left" vertical="center" wrapText="1"/>
    </xf>
    <xf numFmtId="0" fontId="12" fillId="0" borderId="22" xfId="0" applyFont="1" applyBorder="1" applyAlignment="1">
      <alignment horizontal="left" vertical="center"/>
    </xf>
    <xf numFmtId="4" fontId="2" fillId="0" borderId="22" xfId="0" applyNumberFormat="1" applyFont="1" applyBorder="1" applyAlignment="1">
      <alignment horizontal="left" vertical="center" wrapText="1"/>
    </xf>
    <xf numFmtId="4" fontId="3" fillId="9" borderId="24" xfId="0" applyNumberFormat="1" applyFont="1" applyFill="1" applyBorder="1" applyAlignment="1">
      <alignment horizontal="right" vertical="center" wrapText="1"/>
    </xf>
    <xf numFmtId="4" fontId="2" fillId="7" borderId="14" xfId="0" applyNumberFormat="1" applyFont="1" applyFill="1" applyBorder="1" applyAlignment="1">
      <alignment horizontal="left" vertical="center" wrapText="1"/>
    </xf>
    <xf numFmtId="0" fontId="2" fillId="0" borderId="0" xfId="0" applyFont="1" applyAlignment="1">
      <alignment horizontal="right" vertical="center" wrapText="1"/>
    </xf>
    <xf numFmtId="0" fontId="11" fillId="0" borderId="0" xfId="0" applyFont="1" applyAlignment="1">
      <alignment horizontal="right" vertical="center"/>
    </xf>
    <xf numFmtId="0" fontId="12" fillId="0" borderId="22" xfId="0" applyFont="1" applyBorder="1" applyAlignment="1">
      <alignment horizontal="left" vertical="center" wrapText="1"/>
    </xf>
    <xf numFmtId="0" fontId="7" fillId="0" borderId="22" xfId="0" applyFont="1" applyBorder="1" applyAlignment="1">
      <alignment wrapText="1"/>
    </xf>
    <xf numFmtId="0" fontId="2" fillId="0" borderId="9" xfId="0" applyFont="1" applyBorder="1" applyAlignment="1">
      <alignment horizontal="left" vertical="center" wrapText="1"/>
    </xf>
    <xf numFmtId="0" fontId="7" fillId="0" borderId="22" xfId="0" applyFont="1" applyBorder="1" applyAlignment="1">
      <alignment horizontal="left" vertical="center"/>
    </xf>
    <xf numFmtId="0" fontId="2" fillId="0" borderId="22" xfId="0" applyFont="1" applyBorder="1" applyAlignment="1">
      <alignment horizontal="right" vertical="center"/>
    </xf>
    <xf numFmtId="0" fontId="2" fillId="8" borderId="22" xfId="0" applyFont="1" applyFill="1" applyBorder="1" applyAlignment="1">
      <alignment horizontal="right" vertical="center"/>
    </xf>
    <xf numFmtId="0" fontId="2" fillId="0" borderId="0" xfId="0" applyFont="1" applyAlignment="1">
      <alignment horizontal="right" vertical="center"/>
    </xf>
    <xf numFmtId="0" fontId="2" fillId="8" borderId="29" xfId="0" applyFont="1" applyFill="1" applyBorder="1" applyAlignment="1">
      <alignment horizontal="right" vertical="center"/>
    </xf>
    <xf numFmtId="0" fontId="4" fillId="0" borderId="22" xfId="0" applyFont="1" applyBorder="1" applyAlignment="1">
      <alignment horizontal="right" vertical="center"/>
    </xf>
    <xf numFmtId="4" fontId="2" fillId="0" borderId="22" xfId="0" applyNumberFormat="1" applyFont="1" applyBorder="1" applyAlignment="1">
      <alignment horizontal="right" vertical="center"/>
    </xf>
    <xf numFmtId="0" fontId="2" fillId="0" borderId="29" xfId="0" applyFont="1" applyBorder="1" applyAlignment="1">
      <alignment horizontal="left" vertical="center" wrapText="1"/>
    </xf>
    <xf numFmtId="4" fontId="2" fillId="8" borderId="29" xfId="0" applyNumberFormat="1" applyFont="1" applyFill="1" applyBorder="1" applyAlignment="1">
      <alignment horizontal="right" vertical="center"/>
    </xf>
    <xf numFmtId="2" fontId="7" fillId="0" borderId="22" xfId="0" applyNumberFormat="1" applyFont="1" applyBorder="1" applyAlignment="1">
      <alignment horizontal="right" vertical="center"/>
    </xf>
    <xf numFmtId="4" fontId="2" fillId="8" borderId="22" xfId="0" applyNumberFormat="1" applyFont="1" applyFill="1" applyBorder="1" applyAlignment="1">
      <alignment horizontal="right" vertical="center"/>
    </xf>
    <xf numFmtId="2" fontId="2" fillId="0" borderId="0" xfId="0" applyNumberFormat="1" applyFont="1" applyAlignment="1">
      <alignment horizontal="right" vertical="center"/>
    </xf>
    <xf numFmtId="2" fontId="2" fillId="0" borderId="22" xfId="0" applyNumberFormat="1" applyFont="1" applyBorder="1" applyAlignment="1">
      <alignment horizontal="right" vertical="center"/>
    </xf>
    <xf numFmtId="0" fontId="12" fillId="0" borderId="4" xfId="0" applyFont="1" applyBorder="1" applyAlignment="1">
      <alignment horizontal="left" vertical="center" wrapText="1"/>
    </xf>
    <xf numFmtId="0" fontId="2" fillId="0" borderId="4" xfId="0" applyFont="1" applyBorder="1" applyAlignment="1">
      <alignment horizontal="left" vertical="center" wrapText="1"/>
    </xf>
    <xf numFmtId="4" fontId="2" fillId="7" borderId="15" xfId="0" applyNumberFormat="1" applyFont="1" applyFill="1" applyBorder="1" applyAlignment="1">
      <alignment horizontal="left" vertical="center" wrapText="1"/>
    </xf>
    <xf numFmtId="0" fontId="2" fillId="0" borderId="22" xfId="0" applyFont="1" applyBorder="1" applyAlignment="1">
      <alignment horizontal="right" vertical="center" wrapText="1"/>
    </xf>
    <xf numFmtId="0" fontId="2" fillId="8" borderId="22" xfId="0" applyFont="1" applyFill="1" applyBorder="1" applyAlignment="1">
      <alignment horizontal="right" vertical="center" wrapText="1"/>
    </xf>
    <xf numFmtId="0" fontId="4" fillId="0" borderId="22" xfId="0" applyFont="1" applyBorder="1" applyAlignment="1">
      <alignment horizontal="right" vertical="center" wrapText="1"/>
    </xf>
    <xf numFmtId="4" fontId="2" fillId="8" borderId="22" xfId="0" applyNumberFormat="1" applyFont="1" applyFill="1" applyBorder="1" applyAlignment="1">
      <alignment horizontal="right" vertical="center" wrapText="1"/>
    </xf>
    <xf numFmtId="4" fontId="2" fillId="0" borderId="22" xfId="0" applyNumberFormat="1" applyFont="1" applyBorder="1" applyAlignment="1">
      <alignment horizontal="right" vertical="center" wrapText="1"/>
    </xf>
    <xf numFmtId="49" fontId="2" fillId="0" borderId="3" xfId="0" applyNumberFormat="1" applyFont="1" applyBorder="1" applyAlignment="1">
      <alignment horizontal="left" vertical="center" wrapText="1"/>
    </xf>
    <xf numFmtId="2" fontId="2" fillId="0" borderId="22" xfId="0" applyNumberFormat="1" applyFont="1" applyBorder="1" applyAlignment="1">
      <alignment horizontal="right" vertical="center" wrapText="1"/>
    </xf>
    <xf numFmtId="0" fontId="12" fillId="0" borderId="0" xfId="0" applyFont="1" applyAlignment="1">
      <alignment horizontal="left" vertical="center" wrapText="1"/>
    </xf>
    <xf numFmtId="0" fontId="2" fillId="0" borderId="36" xfId="0" applyFont="1" applyBorder="1" applyAlignment="1">
      <alignment horizontal="left" vertical="center" wrapText="1"/>
    </xf>
    <xf numFmtId="4" fontId="2" fillId="8" borderId="29" xfId="0" applyNumberFormat="1" applyFont="1" applyFill="1" applyBorder="1" applyAlignment="1">
      <alignment horizontal="right" vertical="center" wrapText="1"/>
    </xf>
    <xf numFmtId="165" fontId="2" fillId="8" borderId="29" xfId="0" applyNumberFormat="1" applyFont="1" applyFill="1" applyBorder="1" applyAlignment="1">
      <alignment horizontal="right" vertical="center" wrapText="1"/>
    </xf>
    <xf numFmtId="4" fontId="2" fillId="7" borderId="7" xfId="0" applyNumberFormat="1" applyFont="1" applyFill="1" applyBorder="1" applyAlignment="1">
      <alignment horizontal="left" vertical="center" wrapText="1"/>
    </xf>
    <xf numFmtId="0" fontId="2" fillId="0" borderId="29" xfId="0" applyFont="1" applyBorder="1" applyAlignment="1">
      <alignment horizontal="right" vertical="center" wrapText="1"/>
    </xf>
    <xf numFmtId="4" fontId="2" fillId="0" borderId="0" xfId="0" applyNumberFormat="1" applyFont="1" applyAlignment="1">
      <alignment horizontal="right" vertical="center" wrapText="1"/>
    </xf>
    <xf numFmtId="4" fontId="2" fillId="6" borderId="17" xfId="0" applyNumberFormat="1" applyFont="1" applyFill="1" applyBorder="1" applyAlignment="1">
      <alignment horizontal="left" vertical="center" wrapText="1"/>
    </xf>
    <xf numFmtId="0" fontId="2" fillId="0" borderId="0" xfId="0" applyFont="1" applyAlignment="1">
      <alignment horizontal="left" wrapText="1"/>
    </xf>
    <xf numFmtId="37" fontId="14" fillId="0" borderId="8" xfId="0" applyNumberFormat="1" applyFont="1" applyBorder="1" applyAlignment="1">
      <alignment horizontal="left" vertical="center" wrapText="1"/>
    </xf>
    <xf numFmtId="3" fontId="3" fillId="0" borderId="8" xfId="0" applyNumberFormat="1" applyFont="1" applyBorder="1" applyAlignment="1">
      <alignment horizontal="right" vertical="center" wrapText="1"/>
    </xf>
    <xf numFmtId="3" fontId="3" fillId="0" borderId="11" xfId="0" applyNumberFormat="1" applyFont="1" applyBorder="1" applyAlignment="1">
      <alignment horizontal="right" vertical="center" wrapText="1"/>
    </xf>
    <xf numFmtId="3" fontId="3" fillId="0" borderId="6" xfId="0" applyNumberFormat="1" applyFont="1" applyBorder="1" applyAlignment="1">
      <alignment horizontal="right" vertical="center" wrapText="1"/>
    </xf>
    <xf numFmtId="37" fontId="14" fillId="0" borderId="11" xfId="0" applyNumberFormat="1" applyFont="1" applyBorder="1" applyAlignment="1">
      <alignment horizontal="left" vertical="center" wrapText="1"/>
    </xf>
    <xf numFmtId="3" fontId="3" fillId="0" borderId="6" xfId="2" applyNumberFormat="1" applyFont="1" applyBorder="1" applyAlignment="1">
      <alignment horizontal="right" vertical="center" wrapText="1"/>
    </xf>
    <xf numFmtId="37" fontId="14" fillId="0" borderId="11" xfId="2" applyNumberFormat="1" applyFont="1" applyBorder="1" applyAlignment="1">
      <alignment horizontal="left" vertical="center" wrapText="1"/>
    </xf>
    <xf numFmtId="0" fontId="9" fillId="0" borderId="3" xfId="0" applyFont="1" applyBorder="1" applyAlignment="1">
      <alignment horizontal="left" vertical="center" wrapText="1"/>
    </xf>
    <xf numFmtId="0" fontId="8" fillId="0" borderId="3" xfId="0" applyFont="1" applyBorder="1" applyAlignment="1">
      <alignment horizontal="left" vertical="center" wrapText="1"/>
    </xf>
    <xf numFmtId="4" fontId="8" fillId="0" borderId="3" xfId="0" applyNumberFormat="1" applyFont="1" applyBorder="1" applyAlignment="1">
      <alignment horizontal="right" vertical="center" wrapText="1"/>
    </xf>
    <xf numFmtId="4" fontId="8" fillId="0" borderId="3" xfId="0" applyNumberFormat="1" applyFont="1" applyBorder="1" applyAlignment="1">
      <alignment horizontal="left" vertical="center" wrapText="1"/>
    </xf>
    <xf numFmtId="0" fontId="9" fillId="0" borderId="3" xfId="0" applyFont="1" applyBorder="1" applyAlignment="1">
      <alignment wrapText="1"/>
    </xf>
    <xf numFmtId="0" fontId="8" fillId="0" borderId="3" xfId="0" applyFont="1" applyBorder="1" applyAlignment="1">
      <alignment wrapText="1"/>
    </xf>
    <xf numFmtId="0" fontId="8" fillId="11" borderId="3" xfId="0" applyFont="1" applyFill="1" applyBorder="1" applyAlignment="1">
      <alignment wrapText="1"/>
    </xf>
    <xf numFmtId="0" fontId="8" fillId="0" borderId="5" xfId="0" applyFont="1" applyBorder="1" applyAlignment="1">
      <alignment wrapText="1"/>
    </xf>
    <xf numFmtId="0" fontId="10" fillId="0" borderId="3" xfId="0" applyFont="1" applyBorder="1" applyAlignment="1">
      <alignment wrapText="1"/>
    </xf>
    <xf numFmtId="0" fontId="6" fillId="0" borderId="3" xfId="0" applyFont="1" applyBorder="1" applyAlignment="1">
      <alignment wrapText="1"/>
    </xf>
    <xf numFmtId="3" fontId="3" fillId="12" borderId="21" xfId="1" applyNumberFormat="1" applyFont="1" applyFill="1" applyBorder="1" applyAlignment="1">
      <alignment horizontal="right" vertical="center" wrapText="1"/>
    </xf>
    <xf numFmtId="0" fontId="9" fillId="0" borderId="0" xfId="0" applyFont="1" applyAlignment="1">
      <alignment wrapText="1"/>
    </xf>
    <xf numFmtId="0" fontId="8" fillId="0" borderId="0" xfId="0" applyFont="1"/>
    <xf numFmtId="0" fontId="8" fillId="0" borderId="22" xfId="0" applyFont="1" applyBorder="1" applyAlignment="1">
      <alignment horizontal="right" vertical="center"/>
    </xf>
    <xf numFmtId="0" fontId="8" fillId="0" borderId="22" xfId="0" applyFont="1" applyBorder="1" applyAlignment="1">
      <alignment horizontal="left" vertical="center" wrapText="1"/>
    </xf>
    <xf numFmtId="3" fontId="3" fillId="12" borderId="30" xfId="1" applyNumberFormat="1" applyFont="1" applyFill="1" applyBorder="1" applyAlignment="1">
      <alignment horizontal="right" vertical="center" wrapText="1"/>
    </xf>
    <xf numFmtId="3" fontId="3" fillId="12" borderId="17" xfId="1" applyNumberFormat="1" applyFont="1" applyFill="1" applyBorder="1" applyAlignment="1">
      <alignment horizontal="right" vertical="center" wrapText="1"/>
    </xf>
    <xf numFmtId="0" fontId="9" fillId="0" borderId="22" xfId="0" applyFont="1" applyBorder="1" applyAlignment="1">
      <alignment wrapText="1"/>
    </xf>
    <xf numFmtId="0" fontId="8" fillId="0" borderId="22" xfId="0" applyFont="1" applyBorder="1" applyAlignment="1">
      <alignment wrapText="1"/>
    </xf>
    <xf numFmtId="0" fontId="8" fillId="13" borderId="22" xfId="0" applyFont="1" applyFill="1" applyBorder="1" applyAlignment="1">
      <alignment wrapText="1"/>
    </xf>
    <xf numFmtId="2" fontId="2" fillId="8" borderId="29" xfId="2" applyNumberFormat="1" applyFont="1" applyFill="1" applyBorder="1" applyAlignment="1">
      <alignment horizontal="right" vertical="center"/>
    </xf>
    <xf numFmtId="2" fontId="2" fillId="8" borderId="22" xfId="2" applyNumberFormat="1" applyFont="1" applyFill="1" applyBorder="1" applyAlignment="1">
      <alignment horizontal="right" vertical="center"/>
    </xf>
    <xf numFmtId="2" fontId="2" fillId="8" borderId="22" xfId="2" applyNumberFormat="1" applyFont="1" applyFill="1" applyBorder="1" applyAlignment="1">
      <alignment horizontal="right" vertical="center" wrapText="1"/>
    </xf>
    <xf numFmtId="4" fontId="2" fillId="0" borderId="21" xfId="2" applyNumberFormat="1" applyFont="1" applyBorder="1" applyAlignment="1">
      <alignment horizontal="right" vertical="center" wrapText="1"/>
    </xf>
    <xf numFmtId="4" fontId="2" fillId="0" borderId="9" xfId="2" applyNumberFormat="1" applyFont="1" applyBorder="1" applyAlignment="1">
      <alignment horizontal="right" vertical="center" wrapText="1"/>
    </xf>
    <xf numFmtId="0" fontId="8" fillId="0" borderId="4" xfId="2" applyFont="1" applyBorder="1" applyAlignment="1">
      <alignment horizontal="left" vertical="center" wrapText="1"/>
    </xf>
    <xf numFmtId="4" fontId="8" fillId="0" borderId="0" xfId="2" applyNumberFormat="1" applyFont="1" applyAlignment="1">
      <alignment horizontal="right" vertical="center" wrapText="1"/>
    </xf>
    <xf numFmtId="0" fontId="16" fillId="0" borderId="0" xfId="0" applyFont="1"/>
    <xf numFmtId="9" fontId="16" fillId="0" borderId="0" xfId="0" applyNumberFormat="1" applyFont="1"/>
    <xf numFmtId="0" fontId="1" fillId="0" borderId="0" xfId="0" applyFont="1"/>
    <xf numFmtId="4" fontId="0" fillId="0" borderId="0" xfId="0" applyNumberFormat="1"/>
    <xf numFmtId="44" fontId="0" fillId="0" borderId="0" xfId="3" applyFont="1"/>
    <xf numFmtId="44" fontId="0" fillId="0" borderId="0" xfId="0" applyNumberFormat="1"/>
    <xf numFmtId="2" fontId="0" fillId="0" borderId="0" xfId="0" applyNumberFormat="1"/>
    <xf numFmtId="166" fontId="2" fillId="0" borderId="0" xfId="2" applyNumberFormat="1" applyFont="1"/>
    <xf numFmtId="43" fontId="2" fillId="0" borderId="0" xfId="1" applyFont="1" applyFill="1" applyAlignment="1">
      <alignment wrapText="1"/>
    </xf>
    <xf numFmtId="10" fontId="2" fillId="0" borderId="0" xfId="4" applyNumberFormat="1" applyFont="1" applyFill="1" applyAlignment="1">
      <alignment wrapText="1"/>
    </xf>
    <xf numFmtId="0" fontId="3" fillId="0" borderId="3" xfId="0" applyFont="1" applyBorder="1" applyAlignment="1">
      <alignment horizontal="left" vertical="center" wrapText="1"/>
    </xf>
    <xf numFmtId="0" fontId="19" fillId="0" borderId="0" xfId="2" applyFont="1" applyAlignment="1">
      <alignment horizontal="center" vertical="center" wrapText="1"/>
    </xf>
    <xf numFmtId="0" fontId="20" fillId="0" borderId="0" xfId="2" applyFont="1"/>
    <xf numFmtId="0" fontId="19" fillId="0" borderId="0" xfId="2" applyFont="1" applyAlignment="1">
      <alignment horizontal="center" vertical="center"/>
    </xf>
    <xf numFmtId="0" fontId="18" fillId="0" borderId="7" xfId="2" applyFont="1" applyBorder="1" applyAlignment="1">
      <alignment horizontal="center" vertical="center" wrapText="1"/>
    </xf>
    <xf numFmtId="43" fontId="18" fillId="0" borderId="7" xfId="1" applyFont="1" applyBorder="1" applyAlignment="1">
      <alignment horizontal="center" vertical="center" wrapText="1"/>
    </xf>
    <xf numFmtId="43" fontId="18" fillId="8" borderId="7" xfId="1" applyFont="1" applyFill="1" applyBorder="1" applyAlignment="1">
      <alignment horizontal="center" vertical="center" wrapText="1"/>
    </xf>
    <xf numFmtId="0" fontId="21" fillId="0" borderId="7" xfId="2" applyFont="1" applyBorder="1" applyAlignment="1">
      <alignment horizontal="center" vertical="center" wrapText="1"/>
    </xf>
    <xf numFmtId="4" fontId="19" fillId="0" borderId="7" xfId="2" applyNumberFormat="1" applyFont="1" applyBorder="1" applyAlignment="1">
      <alignment horizontal="center" vertical="center" wrapText="1"/>
    </xf>
    <xf numFmtId="0" fontId="19" fillId="0" borderId="6" xfId="2" applyFont="1" applyBorder="1" applyAlignment="1">
      <alignment horizontal="center" vertical="center" wrapText="1"/>
    </xf>
    <xf numFmtId="0" fontId="19" fillId="0" borderId="37" xfId="2" applyFont="1" applyBorder="1" applyAlignment="1">
      <alignment horizontal="center" vertical="center" wrapText="1"/>
    </xf>
    <xf numFmtId="0" fontId="19" fillId="0" borderId="16" xfId="2" applyFont="1" applyBorder="1" applyAlignment="1">
      <alignment horizontal="left" vertical="center" wrapText="1"/>
    </xf>
    <xf numFmtId="0" fontId="22" fillId="0" borderId="0" xfId="2" applyFont="1" applyAlignment="1">
      <alignment horizontal="center" vertical="center" wrapText="1"/>
    </xf>
    <xf numFmtId="0" fontId="23" fillId="0" borderId="0" xfId="2" applyFont="1" applyAlignment="1">
      <alignment horizontal="center" vertical="center" wrapText="1"/>
    </xf>
    <xf numFmtId="43" fontId="23" fillId="0" borderId="0" xfId="1" applyFont="1" applyFill="1" applyBorder="1" applyAlignment="1">
      <alignment horizontal="center" vertical="center" wrapText="1"/>
    </xf>
    <xf numFmtId="0" fontId="24" fillId="0" borderId="0" xfId="2" applyFont="1" applyAlignment="1">
      <alignment horizontal="center" vertical="center" wrapText="1"/>
    </xf>
    <xf numFmtId="3" fontId="19" fillId="0" borderId="0" xfId="2" applyNumberFormat="1" applyFont="1" applyAlignment="1">
      <alignment horizontal="center" vertical="center" wrapText="1"/>
    </xf>
    <xf numFmtId="3" fontId="23" fillId="0" borderId="0" xfId="2" applyNumberFormat="1" applyFont="1" applyAlignment="1">
      <alignment horizontal="center" vertical="center" wrapText="1"/>
    </xf>
    <xf numFmtId="3" fontId="22" fillId="0" borderId="0" xfId="2" applyNumberFormat="1" applyFont="1" applyAlignment="1">
      <alignment wrapText="1"/>
    </xf>
    <xf numFmtId="0" fontId="18" fillId="0" borderId="0" xfId="2" applyFont="1" applyAlignment="1">
      <alignment horizontal="center" vertical="center" wrapText="1"/>
    </xf>
    <xf numFmtId="0" fontId="20" fillId="0" borderId="0" xfId="2" applyFont="1" applyAlignment="1">
      <alignment horizontal="right"/>
    </xf>
    <xf numFmtId="3" fontId="23" fillId="0" borderId="0" xfId="2" applyNumberFormat="1" applyFont="1" applyAlignment="1">
      <alignment horizontal="right" vertical="center" wrapText="1"/>
    </xf>
    <xf numFmtId="0" fontId="24" fillId="0" borderId="3" xfId="2" applyFont="1" applyBorder="1" applyAlignment="1">
      <alignment horizontal="left" vertical="center" wrapText="1"/>
    </xf>
    <xf numFmtId="0" fontId="22" fillId="0" borderId="3" xfId="2" applyFont="1" applyBorder="1" applyAlignment="1">
      <alignment horizontal="left" vertical="center" wrapText="1"/>
    </xf>
    <xf numFmtId="4" fontId="22" fillId="0" borderId="3" xfId="1" applyNumberFormat="1" applyFont="1" applyFill="1" applyBorder="1" applyAlignment="1">
      <alignment horizontal="right" vertical="center" wrapText="1"/>
    </xf>
    <xf numFmtId="4" fontId="22" fillId="8" borderId="3" xfId="1" applyNumberFormat="1" applyFont="1" applyFill="1" applyBorder="1" applyAlignment="1">
      <alignment horizontal="right" vertical="center" wrapText="1"/>
    </xf>
    <xf numFmtId="4" fontId="22" fillId="0" borderId="5" xfId="1" applyNumberFormat="1" applyFont="1" applyFill="1" applyBorder="1" applyAlignment="1">
      <alignment horizontal="right" vertical="center" wrapText="1"/>
    </xf>
    <xf numFmtId="4" fontId="25" fillId="0" borderId="3" xfId="1" applyNumberFormat="1" applyFont="1" applyFill="1" applyBorder="1" applyAlignment="1">
      <alignment horizontal="right" vertical="center" wrapText="1"/>
    </xf>
    <xf numFmtId="4" fontId="22" fillId="0" borderId="3" xfId="2" applyNumberFormat="1" applyFont="1" applyBorder="1" applyAlignment="1">
      <alignment horizontal="right" vertical="center" wrapText="1"/>
    </xf>
    <xf numFmtId="0" fontId="26" fillId="0" borderId="3" xfId="2" applyFont="1" applyBorder="1" applyAlignment="1">
      <alignment horizontal="left" vertical="center" wrapText="1"/>
    </xf>
    <xf numFmtId="4" fontId="19" fillId="0" borderId="0" xfId="2" applyNumberFormat="1" applyFont="1" applyAlignment="1">
      <alignment wrapText="1"/>
    </xf>
    <xf numFmtId="0" fontId="19" fillId="0" borderId="0" xfId="2" applyFont="1" applyAlignment="1">
      <alignment wrapText="1"/>
    </xf>
    <xf numFmtId="4" fontId="19" fillId="0" borderId="0" xfId="1" applyNumberFormat="1" applyFont="1" applyFill="1" applyBorder="1" applyAlignment="1">
      <alignment horizontal="right" vertical="center" wrapText="1"/>
    </xf>
    <xf numFmtId="0" fontId="24" fillId="0" borderId="0" xfId="2" applyFont="1" applyAlignment="1">
      <alignment horizontal="left" vertical="center" wrapText="1"/>
    </xf>
    <xf numFmtId="0" fontId="22" fillId="0" borderId="0" xfId="2" applyFont="1" applyAlignment="1">
      <alignment wrapText="1"/>
    </xf>
    <xf numFmtId="43" fontId="19" fillId="0" borderId="0" xfId="1" applyFont="1" applyAlignment="1">
      <alignment wrapText="1"/>
    </xf>
    <xf numFmtId="164" fontId="19" fillId="0" borderId="0" xfId="2" applyNumberFormat="1" applyFont="1" applyAlignment="1">
      <alignment wrapText="1"/>
    </xf>
    <xf numFmtId="3" fontId="22" fillId="0" borderId="0" xfId="2" applyNumberFormat="1" applyFont="1" applyAlignment="1">
      <alignment horizontal="right" vertical="center" wrapText="1"/>
    </xf>
    <xf numFmtId="4" fontId="26" fillId="0" borderId="3" xfId="0" applyNumberFormat="1" applyFont="1" applyBorder="1" applyAlignment="1">
      <alignment vertical="center" wrapText="1"/>
    </xf>
    <xf numFmtId="4" fontId="26" fillId="0" borderId="4" xfId="0" applyNumberFormat="1" applyFont="1" applyBorder="1" applyAlignment="1">
      <alignment vertical="center" wrapText="1"/>
    </xf>
    <xf numFmtId="49" fontId="26" fillId="0" borderId="3" xfId="0" applyNumberFormat="1" applyFont="1" applyBorder="1" applyAlignment="1">
      <alignment vertical="center" wrapText="1"/>
    </xf>
    <xf numFmtId="4" fontId="18" fillId="7" borderId="21" xfId="1" applyNumberFormat="1" applyFont="1" applyFill="1" applyBorder="1" applyAlignment="1">
      <alignment horizontal="right" vertical="center" wrapText="1"/>
    </xf>
    <xf numFmtId="4" fontId="17" fillId="7" borderId="21" xfId="1" applyNumberFormat="1" applyFont="1" applyFill="1" applyBorder="1" applyAlignment="1">
      <alignment horizontal="right" vertical="center" wrapText="1"/>
    </xf>
    <xf numFmtId="4" fontId="18" fillId="7" borderId="23" xfId="1" applyNumberFormat="1" applyFont="1" applyFill="1" applyBorder="1" applyAlignment="1">
      <alignment horizontal="right" vertical="center" wrapText="1"/>
    </xf>
    <xf numFmtId="4" fontId="18" fillId="9" borderId="24" xfId="2" applyNumberFormat="1" applyFont="1" applyFill="1" applyBorder="1" applyAlignment="1">
      <alignment horizontal="right" vertical="center" wrapText="1"/>
    </xf>
    <xf numFmtId="4" fontId="19" fillId="7" borderId="14" xfId="2" applyNumberFormat="1" applyFont="1" applyFill="1" applyBorder="1" applyAlignment="1">
      <alignment horizontal="left" vertical="center" wrapText="1"/>
    </xf>
    <xf numFmtId="43" fontId="22" fillId="0" borderId="0" xfId="1" applyFont="1" applyAlignment="1">
      <alignment horizontal="right" vertical="center" wrapText="1"/>
    </xf>
    <xf numFmtId="4" fontId="22" fillId="0" borderId="4" xfId="2" applyNumberFormat="1" applyFont="1" applyBorder="1" applyAlignment="1">
      <alignment horizontal="right" vertical="center" wrapText="1"/>
    </xf>
    <xf numFmtId="43" fontId="22" fillId="0" borderId="0" xfId="1" applyFont="1" applyAlignment="1">
      <alignment horizontal="right" vertical="center"/>
    </xf>
    <xf numFmtId="4" fontId="18" fillId="7" borderId="13" xfId="1" applyNumberFormat="1" applyFont="1" applyFill="1" applyBorder="1" applyAlignment="1">
      <alignment horizontal="right" vertical="center" wrapText="1"/>
    </xf>
    <xf numFmtId="4" fontId="18" fillId="7" borderId="28" xfId="1" applyNumberFormat="1" applyFont="1" applyFill="1" applyBorder="1" applyAlignment="1">
      <alignment horizontal="right" vertical="center" wrapText="1"/>
    </xf>
    <xf numFmtId="2" fontId="22" fillId="0" borderId="22" xfId="2" applyNumberFormat="1" applyFont="1" applyBorder="1" applyAlignment="1">
      <alignment horizontal="right" vertical="center"/>
    </xf>
    <xf numFmtId="43" fontId="22" fillId="0" borderId="22" xfId="1" applyFont="1" applyBorder="1" applyAlignment="1">
      <alignment horizontal="right" vertical="center" indent="1"/>
    </xf>
    <xf numFmtId="4" fontId="22" fillId="8" borderId="22" xfId="2" applyNumberFormat="1" applyFont="1" applyFill="1" applyBorder="1" applyAlignment="1">
      <alignment horizontal="right" vertical="center"/>
    </xf>
    <xf numFmtId="4" fontId="22" fillId="8" borderId="29" xfId="2" applyNumberFormat="1" applyFont="1" applyFill="1" applyBorder="1" applyAlignment="1">
      <alignment horizontal="right" vertical="center"/>
    </xf>
    <xf numFmtId="39" fontId="25" fillId="0" borderId="22" xfId="1" applyNumberFormat="1" applyFont="1" applyBorder="1" applyAlignment="1">
      <alignment horizontal="right" vertical="center"/>
    </xf>
    <xf numFmtId="4" fontId="22" fillId="0" borderId="22" xfId="2" applyNumberFormat="1" applyFont="1" applyBorder="1" applyAlignment="1">
      <alignment horizontal="right" vertical="center"/>
    </xf>
    <xf numFmtId="43" fontId="22" fillId="0" borderId="3" xfId="1" applyFont="1" applyFill="1" applyBorder="1" applyAlignment="1">
      <alignment horizontal="right" vertical="center" wrapText="1"/>
    </xf>
    <xf numFmtId="0" fontId="22" fillId="0" borderId="4" xfId="2" applyFont="1" applyBorder="1" applyAlignment="1">
      <alignment horizontal="left" vertical="center" wrapText="1"/>
    </xf>
    <xf numFmtId="4" fontId="18" fillId="7" borderId="30" xfId="1" applyNumberFormat="1" applyFont="1" applyFill="1" applyBorder="1" applyAlignment="1">
      <alignment horizontal="right" vertical="center" wrapText="1"/>
    </xf>
    <xf numFmtId="4" fontId="18" fillId="7" borderId="31" xfId="1" applyNumberFormat="1" applyFont="1" applyFill="1" applyBorder="1" applyAlignment="1">
      <alignment horizontal="right" vertical="center" wrapText="1"/>
    </xf>
    <xf numFmtId="4" fontId="18" fillId="7" borderId="8" xfId="1" applyNumberFormat="1" applyFont="1" applyFill="1" applyBorder="1" applyAlignment="1">
      <alignment horizontal="right" vertical="center" wrapText="1"/>
    </xf>
    <xf numFmtId="4" fontId="17" fillId="7" borderId="31" xfId="1" applyNumberFormat="1" applyFont="1" applyFill="1" applyBorder="1" applyAlignment="1">
      <alignment horizontal="right" vertical="center" wrapText="1"/>
    </xf>
    <xf numFmtId="4" fontId="18" fillId="7" borderId="17" xfId="1" applyNumberFormat="1" applyFont="1" applyFill="1" applyBorder="1" applyAlignment="1">
      <alignment horizontal="right" vertical="center" wrapText="1"/>
    </xf>
    <xf numFmtId="4" fontId="18" fillId="7" borderId="9" xfId="1" applyNumberFormat="1" applyFont="1" applyFill="1" applyBorder="1" applyAlignment="1">
      <alignment horizontal="right" vertical="center" wrapText="1"/>
    </xf>
    <xf numFmtId="4" fontId="18" fillId="7" borderId="7" xfId="1" applyNumberFormat="1" applyFont="1" applyFill="1" applyBorder="1" applyAlignment="1">
      <alignment horizontal="right" vertical="center" wrapText="1"/>
    </xf>
    <xf numFmtId="4" fontId="17" fillId="7" borderId="17" xfId="1" applyNumberFormat="1" applyFont="1" applyFill="1" applyBorder="1" applyAlignment="1">
      <alignment horizontal="right" vertical="center" wrapText="1"/>
    </xf>
    <xf numFmtId="4" fontId="18" fillId="7" borderId="15" xfId="1" applyNumberFormat="1" applyFont="1" applyFill="1" applyBorder="1" applyAlignment="1">
      <alignment horizontal="right" vertical="center" wrapText="1"/>
    </xf>
    <xf numFmtId="4" fontId="19" fillId="7" borderId="15" xfId="2" applyNumberFormat="1" applyFont="1" applyFill="1" applyBorder="1" applyAlignment="1">
      <alignment horizontal="left" vertical="center" wrapText="1"/>
    </xf>
    <xf numFmtId="0" fontId="24" fillId="0" borderId="4" xfId="2" applyFont="1" applyBorder="1" applyAlignment="1">
      <alignment horizontal="left" vertical="center" wrapText="1"/>
    </xf>
    <xf numFmtId="4" fontId="22" fillId="8" borderId="22" xfId="2" applyNumberFormat="1" applyFont="1" applyFill="1" applyBorder="1" applyAlignment="1">
      <alignment horizontal="right" vertical="center" wrapText="1"/>
    </xf>
    <xf numFmtId="4" fontId="22" fillId="0" borderId="35" xfId="1" applyNumberFormat="1" applyFont="1" applyFill="1" applyBorder="1" applyAlignment="1">
      <alignment horizontal="right" vertical="center" wrapText="1"/>
    </xf>
    <xf numFmtId="4" fontId="22" fillId="0" borderId="22" xfId="2" applyNumberFormat="1" applyFont="1" applyBorder="1" applyAlignment="1">
      <alignment horizontal="right" vertical="center" wrapText="1"/>
    </xf>
    <xf numFmtId="2" fontId="22" fillId="0" borderId="22" xfId="2" applyNumberFormat="1" applyFont="1" applyBorder="1" applyAlignment="1">
      <alignment horizontal="right" vertical="center" wrapText="1"/>
    </xf>
    <xf numFmtId="3" fontId="18" fillId="7" borderId="7" xfId="1" applyNumberFormat="1" applyFont="1" applyFill="1" applyBorder="1" applyAlignment="1">
      <alignment horizontal="right" vertical="center" wrapText="1"/>
    </xf>
    <xf numFmtId="4" fontId="18" fillId="7" borderId="10" xfId="1" applyNumberFormat="1" applyFont="1" applyFill="1" applyBorder="1" applyAlignment="1">
      <alignment horizontal="right" vertical="center" wrapText="1"/>
    </xf>
    <xf numFmtId="4" fontId="17" fillId="7" borderId="7" xfId="1" applyNumberFormat="1" applyFont="1" applyFill="1" applyBorder="1" applyAlignment="1">
      <alignment horizontal="right" vertical="center" wrapText="1"/>
    </xf>
    <xf numFmtId="4" fontId="19" fillId="7" borderId="7" xfId="2" applyNumberFormat="1" applyFont="1" applyFill="1" applyBorder="1" applyAlignment="1">
      <alignment horizontal="left" vertical="center" wrapText="1"/>
    </xf>
    <xf numFmtId="4" fontId="22" fillId="0" borderId="0" xfId="2" applyNumberFormat="1" applyFont="1" applyAlignment="1">
      <alignment horizontal="right" vertical="center" wrapText="1"/>
    </xf>
    <xf numFmtId="4" fontId="18" fillId="6" borderId="7" xfId="1" applyNumberFormat="1" applyFont="1" applyFill="1" applyBorder="1" applyAlignment="1">
      <alignment horizontal="right" vertical="center" wrapText="1"/>
    </xf>
    <xf numFmtId="4" fontId="17" fillId="6" borderId="7" xfId="1" applyNumberFormat="1" applyFont="1" applyFill="1" applyBorder="1" applyAlignment="1">
      <alignment horizontal="right" vertical="center" wrapText="1"/>
    </xf>
    <xf numFmtId="4" fontId="18" fillId="6" borderId="17" xfId="1" applyNumberFormat="1" applyFont="1" applyFill="1" applyBorder="1" applyAlignment="1">
      <alignment horizontal="right" vertical="center" wrapText="1"/>
    </xf>
    <xf numFmtId="4" fontId="19" fillId="6" borderId="17" xfId="2" applyNumberFormat="1" applyFont="1" applyFill="1" applyBorder="1" applyAlignment="1">
      <alignment horizontal="left" vertical="center" wrapText="1"/>
    </xf>
    <xf numFmtId="0" fontId="19" fillId="0" borderId="0" xfId="2" applyFont="1" applyAlignment="1">
      <alignment horizontal="left" wrapText="1"/>
    </xf>
    <xf numFmtId="43" fontId="19" fillId="0" borderId="0" xfId="1" applyFont="1" applyFill="1" applyAlignment="1">
      <alignment wrapText="1"/>
    </xf>
    <xf numFmtId="3" fontId="18" fillId="0" borderId="0" xfId="2" applyNumberFormat="1" applyFont="1" applyAlignment="1">
      <alignment wrapText="1"/>
    </xf>
    <xf numFmtId="166" fontId="19" fillId="0" borderId="0" xfId="2" applyNumberFormat="1" applyFont="1"/>
    <xf numFmtId="10" fontId="19" fillId="0" borderId="0" xfId="4" applyNumberFormat="1" applyFont="1" applyFill="1" applyAlignment="1">
      <alignment wrapText="1"/>
    </xf>
    <xf numFmtId="3" fontId="23" fillId="0" borderId="0" xfId="2" applyNumberFormat="1" applyFont="1"/>
    <xf numFmtId="10" fontId="23" fillId="0" borderId="0" xfId="2" applyNumberFormat="1" applyFont="1"/>
    <xf numFmtId="3" fontId="19" fillId="0" borderId="0" xfId="2" applyNumberFormat="1" applyFont="1"/>
    <xf numFmtId="37" fontId="27" fillId="0" borderId="11" xfId="2" applyNumberFormat="1" applyFont="1" applyBorder="1" applyAlignment="1">
      <alignment horizontal="left" vertical="center" wrapText="1"/>
    </xf>
    <xf numFmtId="37" fontId="27" fillId="0" borderId="8" xfId="2" applyNumberFormat="1" applyFont="1" applyBorder="1" applyAlignment="1">
      <alignment horizontal="left" vertical="center" wrapText="1"/>
    </xf>
    <xf numFmtId="3" fontId="18" fillId="0" borderId="8" xfId="2" applyNumberFormat="1" applyFont="1" applyBorder="1" applyAlignment="1">
      <alignment horizontal="right" vertical="center" wrapText="1"/>
    </xf>
    <xf numFmtId="3" fontId="19" fillId="0" borderId="0" xfId="2" applyNumberFormat="1" applyFont="1" applyAlignment="1">
      <alignment wrapText="1"/>
    </xf>
    <xf numFmtId="0" fontId="9" fillId="0" borderId="22" xfId="2" applyFont="1" applyBorder="1" applyAlignment="1">
      <alignment horizontal="left" vertical="center" wrapText="1"/>
    </xf>
    <xf numFmtId="0" fontId="24" fillId="0" borderId="22" xfId="2" applyFont="1" applyBorder="1" applyAlignment="1">
      <alignment horizontal="left" vertical="center" wrapText="1"/>
    </xf>
    <xf numFmtId="3" fontId="3" fillId="14" borderId="7" xfId="1" applyNumberFormat="1" applyFont="1" applyFill="1" applyBorder="1" applyAlignment="1">
      <alignment horizontal="right" vertical="center" wrapText="1"/>
    </xf>
    <xf numFmtId="37" fontId="14" fillId="0" borderId="11" xfId="2" applyNumberFormat="1" applyFont="1" applyBorder="1" applyAlignment="1">
      <alignment horizontal="left" wrapText="1"/>
    </xf>
    <xf numFmtId="37" fontId="14" fillId="0" borderId="6" xfId="2" applyNumberFormat="1" applyFont="1" applyBorder="1" applyAlignment="1">
      <alignment horizontal="left" wrapText="1"/>
    </xf>
    <xf numFmtId="3" fontId="3" fillId="0" borderId="11" xfId="2" applyNumberFormat="1" applyFont="1" applyBorder="1" applyAlignment="1">
      <alignment horizontal="right" vertical="center" wrapText="1"/>
    </xf>
    <xf numFmtId="3" fontId="3" fillId="0" borderId="6" xfId="2" applyNumberFormat="1" applyFont="1" applyBorder="1" applyAlignment="1">
      <alignment horizontal="right" vertical="center" wrapText="1"/>
    </xf>
    <xf numFmtId="0" fontId="3" fillId="5" borderId="11" xfId="2" applyFont="1" applyFill="1" applyBorder="1" applyAlignment="1">
      <alignment horizontal="center" wrapText="1"/>
    </xf>
    <xf numFmtId="0" fontId="3" fillId="5" borderId="8" xfId="2" applyFont="1" applyFill="1" applyBorder="1" applyAlignment="1">
      <alignment horizontal="center" wrapText="1"/>
    </xf>
    <xf numFmtId="0" fontId="3" fillId="5" borderId="6" xfId="2" applyFont="1" applyFill="1" applyBorder="1" applyAlignment="1">
      <alignment horizontal="center" wrapText="1"/>
    </xf>
    <xf numFmtId="37" fontId="14" fillId="0" borderId="11" xfId="2" applyNumberFormat="1" applyFont="1" applyBorder="1" applyAlignment="1">
      <alignment horizontal="left" vertical="center" wrapText="1"/>
    </xf>
    <xf numFmtId="37" fontId="14" fillId="0" borderId="6" xfId="2" applyNumberFormat="1" applyFont="1" applyBorder="1" applyAlignment="1">
      <alignment horizontal="left" vertical="center" wrapText="1"/>
    </xf>
    <xf numFmtId="4" fontId="3" fillId="0" borderId="11" xfId="2" applyNumberFormat="1" applyFont="1" applyBorder="1" applyAlignment="1">
      <alignment horizontal="right" vertical="center" wrapText="1"/>
    </xf>
    <xf numFmtId="4" fontId="3" fillId="0" borderId="6" xfId="2" applyNumberFormat="1" applyFont="1" applyBorder="1" applyAlignment="1">
      <alignment horizontal="right" vertical="center" wrapText="1"/>
    </xf>
    <xf numFmtId="37" fontId="14" fillId="0" borderId="11" xfId="2" applyNumberFormat="1" applyFont="1" applyBorder="1" applyAlignment="1">
      <alignment wrapText="1"/>
    </xf>
    <xf numFmtId="37" fontId="14" fillId="0" borderId="6" xfId="2" applyNumberFormat="1" applyFont="1" applyBorder="1" applyAlignment="1">
      <alignment wrapText="1"/>
    </xf>
    <xf numFmtId="0" fontId="3" fillId="3" borderId="11" xfId="2" applyFont="1" applyFill="1" applyBorder="1" applyAlignment="1">
      <alignment horizontal="center" vertical="center" wrapText="1"/>
    </xf>
    <xf numFmtId="0" fontId="3" fillId="3" borderId="7" xfId="2" applyFont="1" applyFill="1" applyBorder="1" applyAlignment="1">
      <alignment horizontal="center" vertical="center" wrapText="1"/>
    </xf>
    <xf numFmtId="0" fontId="3" fillId="7" borderId="11" xfId="2" applyFont="1" applyFill="1" applyBorder="1" applyAlignment="1">
      <alignment horizontal="right" vertical="center" wrapText="1"/>
    </xf>
    <xf numFmtId="0" fontId="3" fillId="7" borderId="11" xfId="2" applyFont="1" applyFill="1" applyBorder="1" applyAlignment="1">
      <alignment horizontal="center" vertical="center" wrapText="1"/>
    </xf>
    <xf numFmtId="0" fontId="3" fillId="7" borderId="6" xfId="2" applyFont="1" applyFill="1" applyBorder="1" applyAlignment="1">
      <alignment horizontal="center" vertical="center" wrapText="1"/>
    </xf>
    <xf numFmtId="0" fontId="3" fillId="4" borderId="13" xfId="2" applyFont="1" applyFill="1" applyBorder="1" applyAlignment="1">
      <alignment horizontal="center" vertical="center" wrapText="1"/>
    </xf>
    <xf numFmtId="0" fontId="3" fillId="4" borderId="38"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6" borderId="11" xfId="2" applyFont="1" applyFill="1" applyBorder="1" applyAlignment="1">
      <alignment horizontal="center" vertical="center" wrapText="1"/>
    </xf>
    <xf numFmtId="0" fontId="3" fillId="6" borderId="6"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7" borderId="13" xfId="2" applyFont="1" applyFill="1" applyBorder="1" applyAlignment="1">
      <alignment horizontal="right" vertical="center" wrapText="1"/>
    </xf>
    <xf numFmtId="0" fontId="3" fillId="3" borderId="25" xfId="2" applyFont="1" applyFill="1" applyBorder="1" applyAlignment="1">
      <alignment horizontal="center" vertical="center" wrapText="1"/>
    </xf>
    <xf numFmtId="0" fontId="3" fillId="3" borderId="26" xfId="2" applyFont="1" applyFill="1" applyBorder="1" applyAlignment="1">
      <alignment horizontal="center" vertical="center" wrapText="1"/>
    </xf>
    <xf numFmtId="0" fontId="3" fillId="3" borderId="27" xfId="2" applyFont="1" applyFill="1" applyBorder="1" applyAlignment="1">
      <alignment horizontal="center" vertical="center" wrapText="1"/>
    </xf>
    <xf numFmtId="0" fontId="3" fillId="7" borderId="13" xfId="2" applyFont="1" applyFill="1" applyBorder="1" applyAlignment="1">
      <alignment horizontal="center" vertical="center" wrapText="1"/>
    </xf>
    <xf numFmtId="0" fontId="3" fillId="4" borderId="32" xfId="2" applyFont="1" applyFill="1" applyBorder="1" applyAlignment="1">
      <alignment horizontal="center" vertical="center" wrapText="1"/>
    </xf>
    <xf numFmtId="0" fontId="3" fillId="3" borderId="33" xfId="2" applyFont="1" applyFill="1" applyBorder="1" applyAlignment="1">
      <alignment horizontal="center" vertical="center" wrapText="1"/>
    </xf>
    <xf numFmtId="0" fontId="3" fillId="3" borderId="34" xfId="2" applyFont="1" applyFill="1" applyBorder="1" applyAlignment="1">
      <alignment horizontal="center" vertical="center" wrapText="1"/>
    </xf>
    <xf numFmtId="37" fontId="27" fillId="0" borderId="11" xfId="2" applyNumberFormat="1" applyFont="1" applyBorder="1" applyAlignment="1">
      <alignment horizontal="left" wrapText="1"/>
    </xf>
    <xf numFmtId="37" fontId="27" fillId="0" borderId="6" xfId="2" applyNumberFormat="1" applyFont="1" applyBorder="1" applyAlignment="1">
      <alignment horizontal="left" wrapText="1"/>
    </xf>
    <xf numFmtId="3" fontId="18" fillId="0" borderId="11" xfId="2" applyNumberFormat="1" applyFont="1" applyBorder="1" applyAlignment="1">
      <alignment horizontal="right" vertical="center" wrapText="1"/>
    </xf>
    <xf numFmtId="3" fontId="18" fillId="0" borderId="6" xfId="2" applyNumberFormat="1" applyFont="1" applyBorder="1" applyAlignment="1">
      <alignment horizontal="right" vertical="center" wrapText="1"/>
    </xf>
    <xf numFmtId="37" fontId="27" fillId="0" borderId="11" xfId="2" applyNumberFormat="1" applyFont="1" applyBorder="1" applyAlignment="1">
      <alignment horizontal="left" vertical="center" wrapText="1"/>
    </xf>
    <xf numFmtId="37" fontId="27" fillId="0" borderId="6" xfId="2" applyNumberFormat="1" applyFont="1" applyBorder="1" applyAlignment="1">
      <alignment horizontal="left" vertical="center" wrapText="1"/>
    </xf>
    <xf numFmtId="0" fontId="18" fillId="5" borderId="11" xfId="2" applyFont="1" applyFill="1" applyBorder="1" applyAlignment="1">
      <alignment horizontal="center" wrapText="1"/>
    </xf>
    <xf numFmtId="0" fontId="18" fillId="5" borderId="8" xfId="2" applyFont="1" applyFill="1" applyBorder="1" applyAlignment="1">
      <alignment horizontal="center" wrapText="1"/>
    </xf>
    <xf numFmtId="0" fontId="18" fillId="5" borderId="6" xfId="2" applyFont="1" applyFill="1" applyBorder="1" applyAlignment="1">
      <alignment horizontal="center" wrapText="1"/>
    </xf>
    <xf numFmtId="37" fontId="27" fillId="0" borderId="11" xfId="2" applyNumberFormat="1" applyFont="1" applyBorder="1" applyAlignment="1">
      <alignment wrapText="1"/>
    </xf>
    <xf numFmtId="37" fontId="27" fillId="0" borderId="6" xfId="2" applyNumberFormat="1" applyFont="1" applyBorder="1" applyAlignment="1">
      <alignment wrapText="1"/>
    </xf>
    <xf numFmtId="4" fontId="18" fillId="0" borderId="11" xfId="2" applyNumberFormat="1" applyFont="1" applyBorder="1" applyAlignment="1">
      <alignment horizontal="right" vertical="center" wrapText="1"/>
    </xf>
    <xf numFmtId="4" fontId="18" fillId="0" borderId="6" xfId="2" applyNumberFormat="1" applyFont="1" applyBorder="1" applyAlignment="1">
      <alignment horizontal="right" vertical="center" wrapText="1"/>
    </xf>
    <xf numFmtId="0" fontId="18" fillId="6" borderId="11" xfId="2" applyFont="1" applyFill="1" applyBorder="1" applyAlignment="1">
      <alignment horizontal="center" vertical="center" wrapText="1"/>
    </xf>
    <xf numFmtId="0" fontId="18" fillId="6" borderId="6" xfId="2" applyFont="1" applyFill="1" applyBorder="1" applyAlignment="1">
      <alignment horizontal="center" vertical="center" wrapText="1"/>
    </xf>
    <xf numFmtId="0" fontId="18" fillId="3" borderId="11" xfId="2" applyFont="1" applyFill="1" applyBorder="1" applyAlignment="1">
      <alignment horizontal="center" vertical="center" wrapText="1"/>
    </xf>
    <xf numFmtId="0" fontId="18" fillId="3" borderId="7" xfId="2" applyFont="1" applyFill="1" applyBorder="1" applyAlignment="1">
      <alignment horizontal="center" vertical="center" wrapText="1"/>
    </xf>
    <xf numFmtId="0" fontId="18" fillId="7" borderId="11" xfId="2" applyFont="1" applyFill="1" applyBorder="1" applyAlignment="1">
      <alignment horizontal="center" vertical="center" wrapText="1"/>
    </xf>
    <xf numFmtId="0" fontId="18" fillId="7" borderId="6" xfId="2" applyFont="1" applyFill="1" applyBorder="1" applyAlignment="1">
      <alignment horizontal="center" vertical="center" wrapText="1"/>
    </xf>
    <xf numFmtId="0" fontId="18" fillId="3" borderId="25" xfId="2" applyFont="1" applyFill="1" applyBorder="1" applyAlignment="1">
      <alignment horizontal="center" vertical="center" wrapText="1"/>
    </xf>
    <xf numFmtId="0" fontId="18" fillId="3" borderId="26" xfId="2" applyFont="1" applyFill="1" applyBorder="1" applyAlignment="1">
      <alignment horizontal="center" vertical="center" wrapText="1"/>
    </xf>
    <xf numFmtId="0" fontId="18" fillId="3" borderId="27" xfId="2" applyFont="1" applyFill="1" applyBorder="1" applyAlignment="1">
      <alignment horizontal="center" vertical="center" wrapText="1"/>
    </xf>
    <xf numFmtId="0" fontId="18" fillId="4" borderId="13" xfId="2" applyFont="1" applyFill="1" applyBorder="1" applyAlignment="1">
      <alignment horizontal="center" vertical="center" wrapText="1"/>
    </xf>
    <xf numFmtId="0" fontId="18" fillId="4" borderId="32" xfId="2" applyFont="1" applyFill="1" applyBorder="1" applyAlignment="1">
      <alignment horizontal="center" vertical="center" wrapText="1"/>
    </xf>
    <xf numFmtId="0" fontId="18" fillId="3" borderId="33" xfId="2" applyFont="1" applyFill="1" applyBorder="1" applyAlignment="1">
      <alignment horizontal="center" vertical="center" wrapText="1"/>
    </xf>
    <xf numFmtId="0" fontId="18" fillId="3" borderId="34" xfId="2" applyFont="1" applyFill="1" applyBorder="1" applyAlignment="1">
      <alignment horizontal="center" vertical="center" wrapText="1"/>
    </xf>
    <xf numFmtId="0" fontId="18" fillId="7" borderId="11" xfId="2" applyFont="1" applyFill="1" applyBorder="1" applyAlignment="1">
      <alignment horizontal="right" vertical="center" wrapText="1"/>
    </xf>
    <xf numFmtId="0" fontId="18" fillId="7" borderId="13"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8" fillId="2" borderId="7" xfId="2" applyFont="1" applyFill="1" applyBorder="1" applyAlignment="1">
      <alignment horizontal="center" vertical="center" wrapText="1"/>
    </xf>
    <xf numFmtId="0" fontId="18" fillId="4" borderId="38" xfId="2" applyFont="1" applyFill="1" applyBorder="1" applyAlignment="1">
      <alignment horizontal="center" vertical="center" wrapText="1"/>
    </xf>
    <xf numFmtId="0" fontId="18" fillId="3" borderId="12" xfId="2" applyFont="1" applyFill="1" applyBorder="1" applyAlignment="1">
      <alignment horizontal="center" vertical="center" wrapText="1"/>
    </xf>
    <xf numFmtId="0" fontId="18" fillId="3" borderId="17" xfId="2" applyFont="1" applyFill="1" applyBorder="1" applyAlignment="1">
      <alignment horizontal="center" vertical="center" wrapText="1"/>
    </xf>
    <xf numFmtId="0" fontId="18" fillId="7" borderId="13" xfId="2" applyFont="1" applyFill="1" applyBorder="1" applyAlignment="1">
      <alignment horizontal="right" vertical="center" wrapText="1"/>
    </xf>
    <xf numFmtId="37" fontId="14" fillId="0" borderId="11" xfId="0" applyNumberFormat="1" applyFont="1" applyBorder="1" applyAlignment="1">
      <alignment horizontal="left" wrapText="1"/>
    </xf>
    <xf numFmtId="37" fontId="14" fillId="0" borderId="6" xfId="0" applyNumberFormat="1" applyFont="1" applyBorder="1" applyAlignment="1">
      <alignment horizontal="left" wrapText="1"/>
    </xf>
    <xf numFmtId="3" fontId="3" fillId="0" borderId="11" xfId="0" applyNumberFormat="1" applyFont="1" applyBorder="1" applyAlignment="1">
      <alignment horizontal="right" vertical="center" wrapText="1"/>
    </xf>
    <xf numFmtId="3" fontId="3" fillId="0" borderId="6" xfId="0" applyNumberFormat="1" applyFont="1" applyBorder="1" applyAlignment="1">
      <alignment horizontal="right" vertical="center" wrapText="1"/>
    </xf>
    <xf numFmtId="37" fontId="14" fillId="0" borderId="11" xfId="0" applyNumberFormat="1" applyFont="1" applyBorder="1" applyAlignment="1">
      <alignment horizontal="left" vertical="center" wrapText="1"/>
    </xf>
    <xf numFmtId="37" fontId="14" fillId="0" borderId="6" xfId="0" applyNumberFormat="1" applyFont="1" applyBorder="1" applyAlignment="1">
      <alignment horizontal="left" vertical="center" wrapText="1"/>
    </xf>
    <xf numFmtId="0" fontId="3" fillId="5" borderId="11" xfId="0" applyFont="1" applyFill="1" applyBorder="1" applyAlignment="1">
      <alignment horizontal="center" wrapText="1"/>
    </xf>
    <xf numFmtId="0" fontId="3" fillId="5" borderId="8" xfId="0" applyFont="1" applyFill="1" applyBorder="1" applyAlignment="1">
      <alignment horizontal="center" wrapText="1"/>
    </xf>
    <xf numFmtId="0" fontId="3" fillId="5" borderId="6" xfId="0" applyFont="1" applyFill="1" applyBorder="1" applyAlignment="1">
      <alignment horizontal="center" wrapText="1"/>
    </xf>
    <xf numFmtId="4" fontId="3" fillId="0" borderId="11" xfId="0" applyNumberFormat="1" applyFont="1" applyBorder="1" applyAlignment="1">
      <alignment horizontal="right" vertical="center" wrapText="1"/>
    </xf>
    <xf numFmtId="4" fontId="3" fillId="0" borderId="6" xfId="0" applyNumberFormat="1" applyFont="1" applyBorder="1" applyAlignment="1">
      <alignment horizontal="right" vertical="center" wrapText="1"/>
    </xf>
    <xf numFmtId="37" fontId="14" fillId="0" borderId="11" xfId="0" applyNumberFormat="1" applyFont="1" applyBorder="1" applyAlignment="1">
      <alignment wrapText="1"/>
    </xf>
    <xf numFmtId="37" fontId="14" fillId="0" borderId="6" xfId="0" applyNumberFormat="1" applyFont="1" applyBorder="1" applyAlignment="1">
      <alignment wrapText="1"/>
    </xf>
    <xf numFmtId="3" fontId="3" fillId="12" borderId="11" xfId="0" applyNumberFormat="1" applyFont="1" applyFill="1" applyBorder="1" applyAlignment="1">
      <alignment horizontal="right" vertical="center" wrapText="1"/>
    </xf>
    <xf numFmtId="3" fontId="3" fillId="12" borderId="6" xfId="0" applyNumberFormat="1" applyFont="1" applyFill="1" applyBorder="1" applyAlignment="1">
      <alignment horizontal="right" vertical="center" wrapText="1"/>
    </xf>
    <xf numFmtId="0" fontId="3" fillId="3" borderId="11" xfId="0" applyFont="1" applyFill="1" applyBorder="1" applyAlignment="1">
      <alignment horizontal="center" vertical="center" wrapText="1"/>
    </xf>
    <xf numFmtId="0" fontId="3" fillId="7" borderId="11" xfId="0" applyFont="1" applyFill="1" applyBorder="1" applyAlignment="1">
      <alignment horizontal="right" vertical="center" wrapText="1"/>
    </xf>
    <xf numFmtId="0" fontId="3" fillId="7" borderId="11"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7" borderId="13" xfId="0" applyFont="1" applyFill="1" applyBorder="1" applyAlignment="1">
      <alignment horizontal="right"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12" fillId="14" borderId="3" xfId="2" applyFont="1" applyFill="1" applyBorder="1" applyAlignment="1">
      <alignment horizontal="left" vertical="center" wrapText="1"/>
    </xf>
    <xf numFmtId="3" fontId="3" fillId="14" borderId="30" xfId="1" applyNumberFormat="1" applyFont="1" applyFill="1" applyBorder="1" applyAlignment="1">
      <alignment horizontal="right" vertical="center" wrapText="1"/>
    </xf>
    <xf numFmtId="3" fontId="5" fillId="14" borderId="7" xfId="1" applyNumberFormat="1" applyFont="1" applyFill="1" applyBorder="1" applyAlignment="1">
      <alignment horizontal="right" vertical="center" wrapText="1"/>
    </xf>
    <xf numFmtId="3" fontId="3" fillId="14" borderId="31" xfId="1" applyNumberFormat="1" applyFont="1" applyFill="1" applyBorder="1" applyAlignment="1">
      <alignment horizontal="right" vertical="center" wrapText="1"/>
    </xf>
    <xf numFmtId="3" fontId="3" fillId="15" borderId="11" xfId="2" applyNumberFormat="1" applyFont="1" applyFill="1" applyBorder="1" applyAlignment="1">
      <alignment horizontal="right" vertical="center" wrapText="1"/>
    </xf>
    <xf numFmtId="3" fontId="3" fillId="15" borderId="6" xfId="2" applyNumberFormat="1" applyFont="1" applyFill="1" applyBorder="1" applyAlignment="1">
      <alignment horizontal="right" vertical="center" wrapText="1"/>
    </xf>
    <xf numFmtId="3" fontId="3" fillId="16" borderId="21" xfId="1" applyNumberFormat="1" applyFont="1" applyFill="1" applyBorder="1" applyAlignment="1">
      <alignment horizontal="right" vertical="center" wrapText="1"/>
    </xf>
    <xf numFmtId="3" fontId="3" fillId="16" borderId="7" xfId="1" applyNumberFormat="1" applyFont="1" applyFill="1" applyBorder="1" applyAlignment="1">
      <alignment horizontal="right" vertical="center" wrapText="1"/>
    </xf>
  </cellXfs>
  <cellStyles count="5">
    <cellStyle name="Comma" xfId="1" builtinId="3"/>
    <cellStyle name="Currency" xfId="3" builtinId="4"/>
    <cellStyle name="Normal" xfId="0" builtinId="0"/>
    <cellStyle name="Normal 2" xfId="2" xr:uid="{00000000-0005-0000-0000-000002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ordon, Anna - FNS" id="{241D16BF-C39D-4398-A691-547C49F620FA}" userId="S::anna.gordon@usda.gov::5779f16c-c016-4d4c-bbb3-5f60919a4e59" providerId="AD"/>
  <person displayName="Adedze, Pascasie - FNS" id="{C75AA07D-2BED-4A78-BEB9-CE51F6BE32A2}" userId="S::pascasie.adedze@usda.gov::a4e99aae-d7b7-4712-9deb-2213c67b4d2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U3" dT="2022-10-05T13:51:56.93" personId="{241D16BF-C39D-4398-A691-547C49F620FA}" id="{DCC6549A-8C21-4206-9B8F-C0AD884FA744}">
    <text xml:space="preserve">Used numbers provided by SAs who indicated they do accept WIC CVB at farmers markets.  For those, that did not provide a number, we used the number of authorized farmers/markets in the FMNP.  For those that don't administer FMNP, we came up with an average number of 173 farmers/markets per SA. </text>
  </threadedComment>
  <threadedComment ref="L80" dT="2022-10-03T14:41:06.48" personId="{C75AA07D-2BED-4A78-BEB9-CE51F6BE32A2}" id="{64BD907F-89AC-4489-814B-E2B2F0F5A4A9}">
    <text xml:space="preserve">first nut ed contact is done during certification. Was this counted for  in certification section? How about  in section 246.4 (state plan section) where Nut Ed may be reported in State plans.   For the second Nut Ed contact, it may have decreased due to online options.  I am just thinking that 1st Nut Ed contact may have been reported in State Plan or Certification sections.  Just to check for any duplication as Nut Ed is a regulatory requirement, I am not sure how this was missed previously. I think in this section we can estimate the 2nd Nut Ed  session because the first one is embedded in Certification section. Please let me know for any further discussions. Thanks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E2B4-2D19-4653-BD0D-5F67D643D5F4}">
  <dimension ref="A1:V188"/>
  <sheetViews>
    <sheetView tabSelected="1" zoomScaleNormal="100" workbookViewId="0">
      <pane ySplit="2" topLeftCell="A151" activePane="bottomLeft" state="frozen"/>
      <selection pane="bottomLeft" activeCell="G182" sqref="G181:G182"/>
    </sheetView>
  </sheetViews>
  <sheetFormatPr defaultColWidth="9.1796875" defaultRowHeight="14" x14ac:dyDescent="0.3"/>
  <cols>
    <col min="1" max="1" width="18.7265625" style="54" bestFit="1" customWidth="1"/>
    <col min="2" max="2" width="33.54296875" style="129" bestFit="1" customWidth="1"/>
    <col min="3" max="3" width="15.1796875" style="54" bestFit="1" customWidth="1"/>
    <col min="4" max="4" width="14.1796875" style="54" customWidth="1"/>
    <col min="5" max="5" width="17.7265625" style="54" customWidth="1"/>
    <col min="6" max="6" width="15.453125" style="54" bestFit="1" customWidth="1"/>
    <col min="7" max="7" width="16.26953125" style="54" customWidth="1"/>
    <col min="8" max="8" width="15.54296875" style="54" bestFit="1" customWidth="1"/>
    <col min="9" max="9" width="15.7265625" style="55" customWidth="1"/>
    <col min="10" max="10" width="14" style="54" bestFit="1" customWidth="1"/>
    <col min="11" max="11" width="14" style="54" customWidth="1"/>
    <col min="12" max="12" width="57.453125" style="129" customWidth="1"/>
    <col min="13" max="13" width="42.453125" style="54" customWidth="1"/>
    <col min="14" max="14" width="28.1796875" style="54" customWidth="1"/>
    <col min="15" max="15" width="16.81640625" style="54" customWidth="1"/>
    <col min="16" max="16" width="17.81640625" style="54" customWidth="1"/>
    <col min="17" max="17" width="23.1796875" style="54" customWidth="1"/>
    <col min="18" max="18" width="17.7265625" style="54" customWidth="1"/>
    <col min="19" max="19" width="17.26953125" style="54" customWidth="1"/>
    <col min="20" max="20" width="16.453125" style="54" customWidth="1"/>
    <col min="21" max="21" width="13.453125" style="54" customWidth="1"/>
    <col min="22" max="22" width="14.1796875" style="54" customWidth="1"/>
    <col min="23" max="16384" width="9.1796875" style="54"/>
  </cols>
  <sheetData>
    <row r="1" spans="1:22" s="31" customFormat="1" ht="14.5" thickBot="1" x14ac:dyDescent="0.35">
      <c r="A1" s="405" t="s">
        <v>0</v>
      </c>
      <c r="B1" s="405"/>
      <c r="C1" s="405"/>
      <c r="D1" s="405"/>
      <c r="E1" s="405"/>
      <c r="F1" s="405"/>
      <c r="G1" s="405"/>
      <c r="H1" s="405"/>
      <c r="I1" s="405"/>
      <c r="J1" s="405"/>
      <c r="K1" s="405"/>
      <c r="L1" s="406"/>
      <c r="N1" s="32"/>
      <c r="O1" s="33"/>
    </row>
    <row r="2" spans="1:22" s="31" customFormat="1" ht="58.5" thickBot="1" x14ac:dyDescent="0.3">
      <c r="A2" s="157" t="s">
        <v>2</v>
      </c>
      <c r="B2" s="157" t="s">
        <v>3</v>
      </c>
      <c r="C2" s="23" t="s">
        <v>4</v>
      </c>
      <c r="D2" s="23" t="s">
        <v>5</v>
      </c>
      <c r="E2" s="24" t="s">
        <v>6</v>
      </c>
      <c r="F2" s="23" t="s">
        <v>7</v>
      </c>
      <c r="G2" s="24" t="s">
        <v>8</v>
      </c>
      <c r="H2" s="159" t="s">
        <v>252</v>
      </c>
      <c r="I2" s="161" t="s">
        <v>10</v>
      </c>
      <c r="J2" s="160" t="s">
        <v>11</v>
      </c>
      <c r="K2" s="158" t="s">
        <v>12</v>
      </c>
      <c r="L2" s="39" t="s">
        <v>13</v>
      </c>
      <c r="M2" s="40"/>
      <c r="N2" s="41"/>
      <c r="O2" s="42"/>
      <c r="P2" s="41"/>
      <c r="Q2" s="41"/>
      <c r="R2" s="41"/>
      <c r="S2" s="41"/>
      <c r="T2" s="41"/>
      <c r="U2" s="41"/>
      <c r="V2" s="43"/>
    </row>
    <row r="3" spans="1:22" s="31" customFormat="1" x14ac:dyDescent="0.3">
      <c r="A3" s="399" t="s">
        <v>22</v>
      </c>
      <c r="B3" s="399"/>
      <c r="C3" s="399"/>
      <c r="D3" s="399"/>
      <c r="E3" s="399"/>
      <c r="F3" s="399"/>
      <c r="G3" s="399"/>
      <c r="H3" s="399"/>
      <c r="I3" s="399"/>
      <c r="J3" s="399"/>
      <c r="K3" s="399"/>
      <c r="L3" s="400"/>
      <c r="O3" s="44"/>
      <c r="S3" s="32"/>
      <c r="T3" s="45"/>
      <c r="U3" s="45"/>
      <c r="V3" s="46"/>
    </row>
    <row r="4" spans="1:22" s="31" customFormat="1" ht="14.5" thickBot="1" x14ac:dyDescent="0.35">
      <c r="A4" s="401" t="s">
        <v>23</v>
      </c>
      <c r="B4" s="401"/>
      <c r="C4" s="401"/>
      <c r="D4" s="401"/>
      <c r="E4" s="401"/>
      <c r="F4" s="401"/>
      <c r="G4" s="401"/>
      <c r="H4" s="401"/>
      <c r="I4" s="401"/>
      <c r="J4" s="401"/>
      <c r="K4" s="401"/>
      <c r="L4" s="402"/>
      <c r="M4" s="47"/>
      <c r="S4" s="48"/>
      <c r="T4" s="49"/>
      <c r="U4" s="45"/>
      <c r="V4" s="46"/>
    </row>
    <row r="5" spans="1:22" ht="14.5" x14ac:dyDescent="0.3">
      <c r="A5" s="481">
        <v>246.4</v>
      </c>
      <c r="B5" s="51" t="s">
        <v>28</v>
      </c>
      <c r="C5" s="6">
        <v>89</v>
      </c>
      <c r="D5" s="6">
        <v>1</v>
      </c>
      <c r="E5" s="15">
        <f>C5*D5</f>
        <v>89</v>
      </c>
      <c r="F5" s="5">
        <v>170.62</v>
      </c>
      <c r="G5" s="15">
        <f>E5*F5</f>
        <v>15185.18</v>
      </c>
      <c r="H5" s="7">
        <v>15185.18</v>
      </c>
      <c r="I5" s="52">
        <v>0</v>
      </c>
      <c r="J5" s="52">
        <f>G5-H5</f>
        <v>0</v>
      </c>
      <c r="K5" s="52">
        <f>G5-H5</f>
        <v>0</v>
      </c>
      <c r="L5" s="53" t="s">
        <v>27</v>
      </c>
      <c r="M5" s="55"/>
      <c r="O5" s="55"/>
      <c r="T5" s="56"/>
      <c r="U5" s="46"/>
      <c r="V5" s="46"/>
    </row>
    <row r="6" spans="1:22" ht="28" x14ac:dyDescent="0.3">
      <c r="A6" s="283" t="s">
        <v>241</v>
      </c>
      <c r="B6" s="17" t="s">
        <v>242</v>
      </c>
      <c r="C6" s="6">
        <v>15</v>
      </c>
      <c r="D6" s="6">
        <v>1</v>
      </c>
      <c r="E6" s="15">
        <f>C6*D6</f>
        <v>15</v>
      </c>
      <c r="F6" s="5">
        <v>80</v>
      </c>
      <c r="G6" s="15">
        <f>E6*F6</f>
        <v>1200</v>
      </c>
      <c r="H6" s="7">
        <v>1200</v>
      </c>
      <c r="I6" s="52">
        <v>0</v>
      </c>
      <c r="J6" s="52">
        <f>G6-H6</f>
        <v>0</v>
      </c>
      <c r="K6" s="52">
        <f>G6-H6</f>
        <v>0</v>
      </c>
      <c r="L6" s="53" t="s">
        <v>27</v>
      </c>
      <c r="M6" s="55"/>
      <c r="O6" s="55"/>
      <c r="T6" s="56"/>
      <c r="U6" s="46"/>
      <c r="V6" s="46"/>
    </row>
    <row r="7" spans="1:22" ht="14.5" x14ac:dyDescent="0.3">
      <c r="A7" s="50" t="s">
        <v>29</v>
      </c>
      <c r="B7" s="51" t="s">
        <v>30</v>
      </c>
      <c r="C7" s="6">
        <f>1810*0.5*0.7</f>
        <v>633.5</v>
      </c>
      <c r="D7" s="6">
        <v>1</v>
      </c>
      <c r="E7" s="15">
        <f t="shared" ref="E7:E71" si="0">C7*D7</f>
        <v>633.5</v>
      </c>
      <c r="F7" s="5">
        <v>2</v>
      </c>
      <c r="G7" s="15">
        <f t="shared" ref="G7:G71" si="1">E7*F7</f>
        <v>1267</v>
      </c>
      <c r="H7" s="7">
        <v>1267</v>
      </c>
      <c r="I7" s="52">
        <f>G7-H7</f>
        <v>0</v>
      </c>
      <c r="J7" s="52">
        <v>0</v>
      </c>
      <c r="K7" s="52">
        <f t="shared" ref="K7:K71" si="2">G7-H7</f>
        <v>0</v>
      </c>
      <c r="L7" s="53" t="s">
        <v>27</v>
      </c>
      <c r="M7" s="55"/>
      <c r="O7" s="55"/>
      <c r="S7" s="57"/>
      <c r="T7" s="56"/>
      <c r="U7" s="46"/>
      <c r="V7" s="46"/>
    </row>
    <row r="8" spans="1:22" ht="14.5" x14ac:dyDescent="0.3">
      <c r="A8" s="50" t="s">
        <v>31</v>
      </c>
      <c r="B8" s="51" t="s">
        <v>32</v>
      </c>
      <c r="C8" s="6">
        <v>4</v>
      </c>
      <c r="D8" s="6">
        <v>1</v>
      </c>
      <c r="E8" s="15">
        <f t="shared" si="0"/>
        <v>4</v>
      </c>
      <c r="F8" s="5">
        <v>0.16700000000000001</v>
      </c>
      <c r="G8" s="15">
        <f t="shared" si="1"/>
        <v>0.66800000000000004</v>
      </c>
      <c r="H8" s="7">
        <v>0.66800000000000004</v>
      </c>
      <c r="I8" s="52">
        <f t="shared" ref="I8:I71" si="3">G8-H8</f>
        <v>0</v>
      </c>
      <c r="J8" s="52">
        <v>0</v>
      </c>
      <c r="K8" s="52">
        <f t="shared" si="2"/>
        <v>0</v>
      </c>
      <c r="L8" s="53" t="s">
        <v>27</v>
      </c>
      <c r="M8" s="55"/>
      <c r="O8" s="55"/>
      <c r="S8" s="57"/>
      <c r="T8" s="56"/>
      <c r="U8" s="46"/>
      <c r="V8" s="46"/>
    </row>
    <row r="9" spans="1:22" ht="14.5" x14ac:dyDescent="0.3">
      <c r="A9" s="50" t="s">
        <v>33</v>
      </c>
      <c r="B9" s="58" t="s">
        <v>34</v>
      </c>
      <c r="C9" s="6">
        <v>4</v>
      </c>
      <c r="D9" s="6">
        <f>(1810/89)*0.02</f>
        <v>0.40674157303370784</v>
      </c>
      <c r="E9" s="15">
        <f t="shared" si="0"/>
        <v>1.6269662921348313</v>
      </c>
      <c r="F9" s="5">
        <v>0.5</v>
      </c>
      <c r="G9" s="15">
        <f t="shared" si="1"/>
        <v>0.81348314606741567</v>
      </c>
      <c r="H9" s="7">
        <v>0.81348314606741567</v>
      </c>
      <c r="I9" s="52">
        <f t="shared" si="3"/>
        <v>0</v>
      </c>
      <c r="J9" s="52">
        <v>0</v>
      </c>
      <c r="K9" s="52">
        <f t="shared" si="2"/>
        <v>0</v>
      </c>
      <c r="L9" s="53" t="s">
        <v>27</v>
      </c>
      <c r="M9" s="55"/>
      <c r="O9" s="55"/>
      <c r="S9" s="57"/>
      <c r="T9" s="56"/>
      <c r="U9" s="46"/>
      <c r="V9" s="46"/>
    </row>
    <row r="10" spans="1:22" ht="14.5" x14ac:dyDescent="0.3">
      <c r="A10" s="50">
        <v>246.6</v>
      </c>
      <c r="B10" s="51" t="s">
        <v>35</v>
      </c>
      <c r="C10" s="6">
        <f>1810*0.5*0.7</f>
        <v>633.5</v>
      </c>
      <c r="D10" s="6">
        <v>1</v>
      </c>
      <c r="E10" s="15">
        <f t="shared" si="0"/>
        <v>633.5</v>
      </c>
      <c r="F10" s="5">
        <v>1.5</v>
      </c>
      <c r="G10" s="15">
        <f t="shared" si="1"/>
        <v>950.25</v>
      </c>
      <c r="H10" s="7">
        <v>950.25</v>
      </c>
      <c r="I10" s="52">
        <f t="shared" si="3"/>
        <v>0</v>
      </c>
      <c r="J10" s="52">
        <v>0</v>
      </c>
      <c r="K10" s="52">
        <f t="shared" si="2"/>
        <v>0</v>
      </c>
      <c r="L10" s="53" t="s">
        <v>27</v>
      </c>
      <c r="M10" s="55"/>
      <c r="O10" s="55"/>
      <c r="S10" s="57"/>
      <c r="T10" s="56"/>
      <c r="U10" s="46"/>
      <c r="V10" s="46"/>
    </row>
    <row r="11" spans="1:22" ht="28" x14ac:dyDescent="0.3">
      <c r="A11" s="50" t="s">
        <v>36</v>
      </c>
      <c r="B11" s="51" t="s">
        <v>37</v>
      </c>
      <c r="C11" s="6">
        <v>89</v>
      </c>
      <c r="D11" s="6">
        <f>(1810/89)</f>
        <v>20.337078651685392</v>
      </c>
      <c r="E11" s="15">
        <f t="shared" si="0"/>
        <v>1809.9999999999998</v>
      </c>
      <c r="F11" s="5">
        <v>0.25</v>
      </c>
      <c r="G11" s="15">
        <f t="shared" si="1"/>
        <v>452.49999999999994</v>
      </c>
      <c r="H11" s="7">
        <v>452.49999999999994</v>
      </c>
      <c r="I11" s="52">
        <f t="shared" si="3"/>
        <v>0</v>
      </c>
      <c r="J11" s="52">
        <v>0</v>
      </c>
      <c r="K11" s="52">
        <f t="shared" si="2"/>
        <v>0</v>
      </c>
      <c r="L11" s="53" t="s">
        <v>27</v>
      </c>
      <c r="M11" s="55"/>
      <c r="O11" s="55"/>
      <c r="S11" s="57"/>
      <c r="T11" s="56"/>
      <c r="U11" s="46"/>
      <c r="V11" s="46"/>
    </row>
    <row r="12" spans="1:22" ht="14.5" x14ac:dyDescent="0.3">
      <c r="A12" s="50" t="s">
        <v>38</v>
      </c>
      <c r="B12" s="51" t="s">
        <v>39</v>
      </c>
      <c r="C12" s="6">
        <f>(1810/6)*0.7</f>
        <v>211.16666666666666</v>
      </c>
      <c r="D12" s="6">
        <v>1</v>
      </c>
      <c r="E12" s="15">
        <f t="shared" si="0"/>
        <v>211.16666666666666</v>
      </c>
      <c r="F12" s="5">
        <v>0.25</v>
      </c>
      <c r="G12" s="15">
        <f t="shared" si="1"/>
        <v>52.791666666666664</v>
      </c>
      <c r="H12" s="7">
        <v>52.791666666666664</v>
      </c>
      <c r="I12" s="52">
        <f t="shared" si="3"/>
        <v>0</v>
      </c>
      <c r="J12" s="52">
        <v>0</v>
      </c>
      <c r="K12" s="52">
        <f t="shared" si="2"/>
        <v>0</v>
      </c>
      <c r="L12" s="53" t="s">
        <v>27</v>
      </c>
      <c r="M12" s="55"/>
      <c r="O12" s="55"/>
      <c r="S12" s="57"/>
      <c r="T12" s="56"/>
      <c r="U12" s="46"/>
      <c r="V12" s="46"/>
    </row>
    <row r="13" spans="1:22" ht="25" x14ac:dyDescent="0.3">
      <c r="A13" s="60" t="s">
        <v>42</v>
      </c>
      <c r="B13" s="61" t="s">
        <v>43</v>
      </c>
      <c r="C13" s="20">
        <f>1810*0.7</f>
        <v>1267</v>
      </c>
      <c r="D13" s="20">
        <f>(1379126*0.7)/1267</f>
        <v>761.9480662983425</v>
      </c>
      <c r="E13" s="18">
        <f t="shared" si="0"/>
        <v>965388.2</v>
      </c>
      <c r="F13" s="21">
        <v>0.46760000000000002</v>
      </c>
      <c r="G13" s="18">
        <f t="shared" si="1"/>
        <v>451415.52231999999</v>
      </c>
      <c r="H13" s="22">
        <v>403049.57349999994</v>
      </c>
      <c r="I13" s="62">
        <f t="shared" si="3"/>
        <v>48365.948820000049</v>
      </c>
      <c r="J13" s="62">
        <v>0</v>
      </c>
      <c r="K13" s="62">
        <f t="shared" si="2"/>
        <v>48365.948820000049</v>
      </c>
      <c r="L13" s="138" t="s">
        <v>239</v>
      </c>
      <c r="M13" s="55"/>
      <c r="O13" s="55"/>
      <c r="Q13" s="8"/>
      <c r="S13" s="57"/>
      <c r="T13" s="59"/>
      <c r="U13" s="46"/>
      <c r="V13" s="46"/>
    </row>
    <row r="14" spans="1:22" ht="25" x14ac:dyDescent="0.3">
      <c r="A14" s="60" t="s">
        <v>40</v>
      </c>
      <c r="B14" s="61" t="s">
        <v>44</v>
      </c>
      <c r="C14" s="20">
        <f>1810*0.7</f>
        <v>1267</v>
      </c>
      <c r="D14" s="20">
        <f>(3400090*0.7)/1267</f>
        <v>1878.5027624309391</v>
      </c>
      <c r="E14" s="18">
        <f t="shared" si="0"/>
        <v>2380063</v>
      </c>
      <c r="F14" s="21">
        <v>0.46760000000000002</v>
      </c>
      <c r="G14" s="18">
        <f t="shared" si="1"/>
        <v>1112917.4588000001</v>
      </c>
      <c r="H14" s="22">
        <v>993676.30249999999</v>
      </c>
      <c r="I14" s="62">
        <f t="shared" si="3"/>
        <v>119241.15630000015</v>
      </c>
      <c r="J14" s="62">
        <v>0</v>
      </c>
      <c r="K14" s="62">
        <f t="shared" si="2"/>
        <v>119241.15630000015</v>
      </c>
      <c r="L14" s="138" t="s">
        <v>239</v>
      </c>
      <c r="M14" s="55"/>
      <c r="O14" s="55"/>
      <c r="Q14" s="63"/>
      <c r="S14" s="57"/>
      <c r="T14" s="46"/>
      <c r="U14" s="46"/>
      <c r="V14" s="46"/>
    </row>
    <row r="15" spans="1:22" ht="25" x14ac:dyDescent="0.3">
      <c r="A15" s="60" t="s">
        <v>40</v>
      </c>
      <c r="B15" s="61" t="s">
        <v>45</v>
      </c>
      <c r="C15" s="20">
        <f>1810*0.7</f>
        <v>1267</v>
      </c>
      <c r="D15" s="20">
        <f>1*(1464744*0.7/1267)</f>
        <v>809.25082872928169</v>
      </c>
      <c r="E15" s="18">
        <f t="shared" si="0"/>
        <v>1025320.7999999999</v>
      </c>
      <c r="F15" s="21">
        <v>0.46760000000000002</v>
      </c>
      <c r="G15" s="18">
        <f t="shared" si="1"/>
        <v>479440.00607999996</v>
      </c>
      <c r="H15" s="22">
        <v>428071.43399999995</v>
      </c>
      <c r="I15" s="62">
        <f t="shared" si="3"/>
        <v>51368.572080000013</v>
      </c>
      <c r="J15" s="62">
        <v>0</v>
      </c>
      <c r="K15" s="62">
        <f t="shared" si="2"/>
        <v>51368.572080000013</v>
      </c>
      <c r="L15" s="138" t="s">
        <v>239</v>
      </c>
      <c r="M15" s="55"/>
      <c r="O15" s="55"/>
      <c r="Q15" s="64"/>
      <c r="S15" s="57"/>
      <c r="T15" s="56"/>
      <c r="U15" s="46"/>
      <c r="V15" s="46"/>
    </row>
    <row r="16" spans="1:22" ht="25" x14ac:dyDescent="0.3">
      <c r="A16" s="60" t="s">
        <v>40</v>
      </c>
      <c r="B16" s="61" t="s">
        <v>228</v>
      </c>
      <c r="C16" s="20">
        <f>1810*0.7</f>
        <v>1267</v>
      </c>
      <c r="D16" s="20">
        <f>(6243960*0.7)/1267</f>
        <v>3449.7016574585637</v>
      </c>
      <c r="E16" s="18">
        <f t="shared" si="0"/>
        <v>4370772</v>
      </c>
      <c r="F16" s="21">
        <v>8.3500000000000005E-2</v>
      </c>
      <c r="G16" s="18">
        <f t="shared" si="1"/>
        <v>364959.462</v>
      </c>
      <c r="H16" s="22">
        <v>0</v>
      </c>
      <c r="I16" s="62">
        <f t="shared" si="3"/>
        <v>364959.462</v>
      </c>
      <c r="J16" s="62">
        <v>0</v>
      </c>
      <c r="K16" s="62">
        <f t="shared" si="2"/>
        <v>364959.462</v>
      </c>
      <c r="L16" s="19" t="s">
        <v>229</v>
      </c>
      <c r="O16" s="55"/>
      <c r="Q16" s="64"/>
      <c r="S16" s="57"/>
      <c r="T16" s="56"/>
      <c r="U16" s="46"/>
      <c r="V16" s="46"/>
    </row>
    <row r="17" spans="1:22" ht="14.5" x14ac:dyDescent="0.3">
      <c r="A17" s="50" t="s">
        <v>46</v>
      </c>
      <c r="B17" s="51" t="s">
        <v>47</v>
      </c>
      <c r="C17" s="6">
        <v>4</v>
      </c>
      <c r="D17" s="6">
        <v>1</v>
      </c>
      <c r="E17" s="15">
        <f t="shared" si="0"/>
        <v>4</v>
      </c>
      <c r="F17" s="5">
        <v>8.3500000000000005E-2</v>
      </c>
      <c r="G17" s="15">
        <f t="shared" si="1"/>
        <v>0.33400000000000002</v>
      </c>
      <c r="H17" s="7">
        <v>0.33400000000000002</v>
      </c>
      <c r="I17" s="52">
        <f t="shared" si="3"/>
        <v>0</v>
      </c>
      <c r="J17" s="52">
        <f t="shared" ref="J17:J67" si="4">G17-H17</f>
        <v>0</v>
      </c>
      <c r="K17" s="52">
        <f t="shared" si="2"/>
        <v>0</v>
      </c>
      <c r="L17" s="53" t="s">
        <v>27</v>
      </c>
      <c r="M17" s="55"/>
      <c r="O17" s="55"/>
      <c r="S17" s="57"/>
      <c r="T17" s="56"/>
      <c r="U17" s="46"/>
      <c r="V17" s="46"/>
    </row>
    <row r="18" spans="1:22" ht="14.5" x14ac:dyDescent="0.3">
      <c r="A18" s="50" t="s">
        <v>48</v>
      </c>
      <c r="B18" s="51" t="s">
        <v>49</v>
      </c>
      <c r="C18" s="6">
        <f>1810*0.7</f>
        <v>1267</v>
      </c>
      <c r="D18" s="6">
        <f>((0.03*6243960*0.7)/1267)</f>
        <v>103.49104972375689</v>
      </c>
      <c r="E18" s="15">
        <f t="shared" si="0"/>
        <v>131123.15999999997</v>
      </c>
      <c r="F18" s="5">
        <v>8.3500000000000005E-2</v>
      </c>
      <c r="G18" s="15">
        <f t="shared" si="1"/>
        <v>10948.783859999998</v>
      </c>
      <c r="H18" s="7">
        <v>10948.783859999998</v>
      </c>
      <c r="I18" s="52">
        <f>G18-H18</f>
        <v>0</v>
      </c>
      <c r="J18" s="52">
        <v>0</v>
      </c>
      <c r="K18" s="52">
        <f t="shared" si="2"/>
        <v>0</v>
      </c>
      <c r="L18" s="53" t="s">
        <v>27</v>
      </c>
      <c r="M18" s="55"/>
      <c r="O18" s="55"/>
    </row>
    <row r="19" spans="1:22" ht="14.5" x14ac:dyDescent="0.3">
      <c r="A19" s="50">
        <v>246.8</v>
      </c>
      <c r="B19" s="65" t="s">
        <v>50</v>
      </c>
      <c r="C19" s="66">
        <v>79</v>
      </c>
      <c r="D19" s="66">
        <v>1</v>
      </c>
      <c r="E19" s="15">
        <f t="shared" si="0"/>
        <v>79</v>
      </c>
      <c r="F19" s="67">
        <v>3</v>
      </c>
      <c r="G19" s="68">
        <f t="shared" si="1"/>
        <v>237</v>
      </c>
      <c r="H19" s="69">
        <v>237</v>
      </c>
      <c r="I19" s="52">
        <f t="shared" si="3"/>
        <v>0</v>
      </c>
      <c r="J19" s="52">
        <v>0</v>
      </c>
      <c r="K19" s="52">
        <f t="shared" si="2"/>
        <v>0</v>
      </c>
      <c r="L19" s="53" t="s">
        <v>27</v>
      </c>
      <c r="M19" s="55"/>
      <c r="O19" s="55"/>
    </row>
    <row r="20" spans="1:22" ht="42" x14ac:dyDescent="0.3">
      <c r="A20" s="50" t="s">
        <v>51</v>
      </c>
      <c r="B20" s="51" t="s">
        <v>52</v>
      </c>
      <c r="C20" s="6">
        <v>89</v>
      </c>
      <c r="D20" s="6">
        <f>(6243960*0.02)/89</f>
        <v>1403.1370786516854</v>
      </c>
      <c r="E20" s="15">
        <f t="shared" si="0"/>
        <v>124879.20000000001</v>
      </c>
      <c r="F20" s="5">
        <v>8.3500000000000005E-2</v>
      </c>
      <c r="G20" s="15">
        <f t="shared" si="1"/>
        <v>10427.413200000001</v>
      </c>
      <c r="H20" s="7">
        <v>10427.413200000001</v>
      </c>
      <c r="I20" s="52">
        <f t="shared" si="3"/>
        <v>0</v>
      </c>
      <c r="J20" s="52">
        <v>0</v>
      </c>
      <c r="K20" s="52">
        <f t="shared" si="2"/>
        <v>0</v>
      </c>
      <c r="L20" s="53" t="s">
        <v>27</v>
      </c>
      <c r="M20" s="55"/>
      <c r="O20" s="55"/>
    </row>
    <row r="21" spans="1:22" ht="28" x14ac:dyDescent="0.3">
      <c r="A21" s="50" t="s">
        <v>53</v>
      </c>
      <c r="B21" s="51" t="s">
        <v>54</v>
      </c>
      <c r="C21" s="6">
        <v>89</v>
      </c>
      <c r="D21" s="6">
        <f>(6243960*0.02*0.02)/89</f>
        <v>28.062741573033705</v>
      </c>
      <c r="E21" s="15">
        <f t="shared" si="0"/>
        <v>2497.5839999999998</v>
      </c>
      <c r="F21" s="5">
        <v>3</v>
      </c>
      <c r="G21" s="15">
        <f t="shared" si="1"/>
        <v>7492.7519999999995</v>
      </c>
      <c r="H21" s="7">
        <v>7492.7519999999995</v>
      </c>
      <c r="I21" s="52">
        <f t="shared" si="3"/>
        <v>0</v>
      </c>
      <c r="J21" s="52">
        <v>0</v>
      </c>
      <c r="K21" s="52">
        <f t="shared" si="2"/>
        <v>0</v>
      </c>
      <c r="L21" s="53" t="s">
        <v>27</v>
      </c>
      <c r="M21" s="55"/>
      <c r="O21" s="55"/>
    </row>
    <row r="22" spans="1:22" ht="14.5" x14ac:dyDescent="0.3">
      <c r="A22" s="60" t="s">
        <v>55</v>
      </c>
      <c r="B22" s="61" t="s">
        <v>56</v>
      </c>
      <c r="C22" s="20">
        <v>89</v>
      </c>
      <c r="D22" s="20">
        <v>1</v>
      </c>
      <c r="E22" s="18">
        <f t="shared" si="0"/>
        <v>89</v>
      </c>
      <c r="F22" s="21">
        <v>43</v>
      </c>
      <c r="G22" s="18">
        <f t="shared" si="1"/>
        <v>3827</v>
      </c>
      <c r="H22" s="22">
        <v>3560</v>
      </c>
      <c r="I22" s="62">
        <f t="shared" si="3"/>
        <v>267</v>
      </c>
      <c r="J22" s="62">
        <v>0</v>
      </c>
      <c r="K22" s="62">
        <f t="shared" si="2"/>
        <v>267</v>
      </c>
      <c r="L22" s="19" t="s">
        <v>230</v>
      </c>
      <c r="M22" s="55"/>
      <c r="O22" s="55"/>
    </row>
    <row r="23" spans="1:22" ht="14.5" x14ac:dyDescent="0.3">
      <c r="A23" s="50" t="s">
        <v>231</v>
      </c>
      <c r="B23" s="51" t="s">
        <v>58</v>
      </c>
      <c r="C23" s="6">
        <v>54</v>
      </c>
      <c r="D23" s="6">
        <v>4</v>
      </c>
      <c r="E23" s="15">
        <f t="shared" si="0"/>
        <v>216</v>
      </c>
      <c r="F23" s="5">
        <v>8.3000000000000001E-3</v>
      </c>
      <c r="G23" s="15">
        <f t="shared" si="1"/>
        <v>1.7927999999999999</v>
      </c>
      <c r="H23" s="7">
        <v>1.7927999999999999</v>
      </c>
      <c r="I23" s="52">
        <f t="shared" si="3"/>
        <v>0</v>
      </c>
      <c r="J23" s="52">
        <f t="shared" si="4"/>
        <v>0</v>
      </c>
      <c r="K23" s="52">
        <f t="shared" si="2"/>
        <v>0</v>
      </c>
      <c r="L23" s="53" t="s">
        <v>27</v>
      </c>
      <c r="M23" s="55"/>
      <c r="O23" s="55"/>
    </row>
    <row r="24" spans="1:22" ht="28" x14ac:dyDescent="0.3">
      <c r="A24" s="60" t="s">
        <v>269</v>
      </c>
      <c r="B24" s="61" t="s">
        <v>267</v>
      </c>
      <c r="C24" s="20">
        <v>89</v>
      </c>
      <c r="D24" s="20">
        <v>1</v>
      </c>
      <c r="E24" s="18">
        <f t="shared" si="0"/>
        <v>89</v>
      </c>
      <c r="F24" s="21">
        <v>8</v>
      </c>
      <c r="G24" s="18">
        <f t="shared" si="1"/>
        <v>712</v>
      </c>
      <c r="H24" s="22">
        <v>0</v>
      </c>
      <c r="I24" s="62">
        <f t="shared" si="3"/>
        <v>712</v>
      </c>
      <c r="J24" s="62">
        <v>0</v>
      </c>
      <c r="K24" s="62">
        <f t="shared" si="2"/>
        <v>712</v>
      </c>
      <c r="L24" s="30" t="s">
        <v>268</v>
      </c>
      <c r="O24" s="55"/>
    </row>
    <row r="25" spans="1:22" ht="25" x14ac:dyDescent="0.3">
      <c r="A25" s="60" t="s">
        <v>232</v>
      </c>
      <c r="B25" s="61" t="s">
        <v>233</v>
      </c>
      <c r="C25" s="20">
        <f>1810*0.7</f>
        <v>1267</v>
      </c>
      <c r="D25" s="20">
        <v>1</v>
      </c>
      <c r="E25" s="18">
        <f t="shared" si="0"/>
        <v>1267</v>
      </c>
      <c r="F25" s="21">
        <v>1</v>
      </c>
      <c r="G25" s="18">
        <f t="shared" si="1"/>
        <v>1267</v>
      </c>
      <c r="H25" s="22">
        <v>0</v>
      </c>
      <c r="I25" s="62">
        <f t="shared" si="3"/>
        <v>1267</v>
      </c>
      <c r="J25" s="62">
        <v>0</v>
      </c>
      <c r="K25" s="62">
        <f t="shared" si="2"/>
        <v>1267</v>
      </c>
      <c r="L25" s="30" t="s">
        <v>234</v>
      </c>
      <c r="O25" s="55"/>
    </row>
    <row r="26" spans="1:22" ht="28" x14ac:dyDescent="0.3">
      <c r="A26" s="50" t="s">
        <v>59</v>
      </c>
      <c r="B26" s="51" t="s">
        <v>60</v>
      </c>
      <c r="C26" s="6">
        <f>1810*0.7</f>
        <v>1267</v>
      </c>
      <c r="D26" s="6">
        <f>(1464744*0.7*0.01)/1267</f>
        <v>8.0925082872928158</v>
      </c>
      <c r="E26" s="15">
        <f t="shared" si="0"/>
        <v>10253.207999999997</v>
      </c>
      <c r="F26" s="5">
        <v>3.3399999999999999E-2</v>
      </c>
      <c r="G26" s="15">
        <f t="shared" si="1"/>
        <v>342.45714719999989</v>
      </c>
      <c r="H26" s="7">
        <v>342.45714719999989</v>
      </c>
      <c r="I26" s="52">
        <f>G26-H26</f>
        <v>0</v>
      </c>
      <c r="J26" s="52">
        <v>0</v>
      </c>
      <c r="K26" s="52">
        <f t="shared" si="2"/>
        <v>0</v>
      </c>
      <c r="L26" s="53" t="s">
        <v>27</v>
      </c>
      <c r="M26" s="55"/>
      <c r="O26" s="55"/>
    </row>
    <row r="27" spans="1:22" ht="14.5" x14ac:dyDescent="0.3">
      <c r="A27" s="50" t="s">
        <v>61</v>
      </c>
      <c r="B27" s="51" t="s">
        <v>62</v>
      </c>
      <c r="C27" s="6">
        <f>(1/5)</f>
        <v>0.2</v>
      </c>
      <c r="D27" s="6">
        <v>1</v>
      </c>
      <c r="E27" s="15">
        <f t="shared" si="0"/>
        <v>0.2</v>
      </c>
      <c r="F27" s="5">
        <v>2</v>
      </c>
      <c r="G27" s="15">
        <f t="shared" si="1"/>
        <v>0.4</v>
      </c>
      <c r="H27" s="7">
        <v>0.4</v>
      </c>
      <c r="I27" s="52">
        <f t="shared" si="3"/>
        <v>0</v>
      </c>
      <c r="J27" s="52">
        <v>0</v>
      </c>
      <c r="K27" s="52">
        <f t="shared" si="2"/>
        <v>0</v>
      </c>
      <c r="L27" s="53" t="s">
        <v>27</v>
      </c>
      <c r="M27" s="55"/>
      <c r="O27" s="55"/>
    </row>
    <row r="28" spans="1:22" ht="28" x14ac:dyDescent="0.3">
      <c r="A28" s="50" t="s">
        <v>63</v>
      </c>
      <c r="B28" s="51" t="s">
        <v>64</v>
      </c>
      <c r="C28" s="6">
        <f>1810*0.7</f>
        <v>1267</v>
      </c>
      <c r="D28" s="6">
        <f>((6243960*0.7)/1267)</f>
        <v>3449.7016574585637</v>
      </c>
      <c r="E28" s="15">
        <f t="shared" si="0"/>
        <v>4370772</v>
      </c>
      <c r="F28" s="5">
        <v>0.25</v>
      </c>
      <c r="G28" s="15">
        <f t="shared" si="1"/>
        <v>1092693</v>
      </c>
      <c r="H28" s="7">
        <v>1092693</v>
      </c>
      <c r="I28" s="52">
        <f t="shared" si="3"/>
        <v>0</v>
      </c>
      <c r="J28" s="52">
        <v>0</v>
      </c>
      <c r="K28" s="52">
        <f t="shared" si="2"/>
        <v>0</v>
      </c>
      <c r="L28" s="53" t="s">
        <v>27</v>
      </c>
      <c r="M28" s="55"/>
      <c r="O28" s="55"/>
    </row>
    <row r="29" spans="1:22" ht="14.5" x14ac:dyDescent="0.3">
      <c r="A29" s="50" t="s">
        <v>65</v>
      </c>
      <c r="B29" s="51" t="s">
        <v>66</v>
      </c>
      <c r="C29" s="6">
        <f>0.7*1810</f>
        <v>1267</v>
      </c>
      <c r="D29" s="6">
        <v>1</v>
      </c>
      <c r="E29" s="15">
        <f t="shared" si="0"/>
        <v>1267</v>
      </c>
      <c r="F29" s="5">
        <v>40</v>
      </c>
      <c r="G29" s="15">
        <f t="shared" si="1"/>
        <v>50680</v>
      </c>
      <c r="H29" s="7">
        <v>50680</v>
      </c>
      <c r="I29" s="52">
        <f>G29-H29</f>
        <v>0</v>
      </c>
      <c r="J29" s="52">
        <v>0</v>
      </c>
      <c r="K29" s="52">
        <f t="shared" si="2"/>
        <v>0</v>
      </c>
      <c r="L29" s="53" t="s">
        <v>27</v>
      </c>
      <c r="M29" s="55"/>
      <c r="O29" s="55"/>
    </row>
    <row r="30" spans="1:22" ht="14.5" x14ac:dyDescent="0.3">
      <c r="A30" s="50" t="s">
        <v>67</v>
      </c>
      <c r="B30" s="51" t="s">
        <v>68</v>
      </c>
      <c r="C30" s="6">
        <v>89</v>
      </c>
      <c r="D30" s="6">
        <v>1</v>
      </c>
      <c r="E30" s="15">
        <f t="shared" si="0"/>
        <v>89</v>
      </c>
      <c r="F30" s="5">
        <v>3</v>
      </c>
      <c r="G30" s="15">
        <f t="shared" si="1"/>
        <v>267</v>
      </c>
      <c r="H30" s="7">
        <v>267</v>
      </c>
      <c r="I30" s="52">
        <f t="shared" si="3"/>
        <v>0</v>
      </c>
      <c r="J30" s="52">
        <v>0</v>
      </c>
      <c r="K30" s="52">
        <f t="shared" si="2"/>
        <v>0</v>
      </c>
      <c r="L30" s="53" t="s">
        <v>27</v>
      </c>
      <c r="M30" s="55"/>
      <c r="O30" s="55"/>
    </row>
    <row r="31" spans="1:22" ht="14.5" x14ac:dyDescent="0.3">
      <c r="A31" s="50" t="s">
        <v>69</v>
      </c>
      <c r="B31" s="51" t="s">
        <v>70</v>
      </c>
      <c r="C31" s="6">
        <v>89</v>
      </c>
      <c r="D31" s="6">
        <v>1</v>
      </c>
      <c r="E31" s="15">
        <f t="shared" si="0"/>
        <v>89</v>
      </c>
      <c r="F31" s="5">
        <v>3</v>
      </c>
      <c r="G31" s="15">
        <f t="shared" si="1"/>
        <v>267</v>
      </c>
      <c r="H31" s="7">
        <v>267</v>
      </c>
      <c r="I31" s="52">
        <f t="shared" si="3"/>
        <v>0</v>
      </c>
      <c r="J31" s="52">
        <v>0</v>
      </c>
      <c r="K31" s="52">
        <f t="shared" si="2"/>
        <v>0</v>
      </c>
      <c r="L31" s="53" t="s">
        <v>27</v>
      </c>
      <c r="M31" s="55"/>
      <c r="O31" s="55"/>
    </row>
    <row r="32" spans="1:22" ht="14.5" x14ac:dyDescent="0.3">
      <c r="A32" s="50" t="s">
        <v>71</v>
      </c>
      <c r="B32" s="51" t="s">
        <v>72</v>
      </c>
      <c r="C32" s="6">
        <v>89</v>
      </c>
      <c r="D32" s="6">
        <f>(840)/89</f>
        <v>9.4382022471910112</v>
      </c>
      <c r="E32" s="15">
        <f t="shared" si="0"/>
        <v>840</v>
      </c>
      <c r="F32" s="5">
        <v>4</v>
      </c>
      <c r="G32" s="15">
        <f t="shared" si="1"/>
        <v>3360</v>
      </c>
      <c r="H32" s="7">
        <v>3360</v>
      </c>
      <c r="I32" s="52">
        <v>0</v>
      </c>
      <c r="J32" s="52">
        <f t="shared" si="4"/>
        <v>0</v>
      </c>
      <c r="K32" s="52">
        <f t="shared" si="2"/>
        <v>0</v>
      </c>
      <c r="L32" s="53" t="s">
        <v>27</v>
      </c>
      <c r="M32" s="55"/>
      <c r="O32" s="55"/>
    </row>
    <row r="33" spans="1:15" ht="25" x14ac:dyDescent="0.3">
      <c r="A33" s="60" t="s">
        <v>73</v>
      </c>
      <c r="B33" s="61" t="s">
        <v>74</v>
      </c>
      <c r="C33" s="20">
        <v>79</v>
      </c>
      <c r="D33" s="20">
        <f>2*((37417-150)/79)</f>
        <v>943.46835443037969</v>
      </c>
      <c r="E33" s="18">
        <f t="shared" si="0"/>
        <v>74534</v>
      </c>
      <c r="F33" s="21">
        <v>2</v>
      </c>
      <c r="G33" s="18">
        <f t="shared" si="1"/>
        <v>149068</v>
      </c>
      <c r="H33" s="22">
        <v>149668</v>
      </c>
      <c r="I33" s="62">
        <f>G33-H33</f>
        <v>-600</v>
      </c>
      <c r="J33" s="62">
        <v>0</v>
      </c>
      <c r="K33" s="62">
        <f t="shared" si="2"/>
        <v>-600</v>
      </c>
      <c r="L33" s="27" t="s">
        <v>235</v>
      </c>
      <c r="M33" s="55"/>
      <c r="O33" s="55"/>
    </row>
    <row r="34" spans="1:15" ht="14.5" x14ac:dyDescent="0.3">
      <c r="A34" s="50" t="s">
        <v>73</v>
      </c>
      <c r="B34" s="51" t="s">
        <v>75</v>
      </c>
      <c r="C34" s="6">
        <v>5</v>
      </c>
      <c r="D34" s="6">
        <v>1</v>
      </c>
      <c r="E34" s="15">
        <f t="shared" si="0"/>
        <v>5</v>
      </c>
      <c r="F34" s="5">
        <v>8</v>
      </c>
      <c r="G34" s="15">
        <f t="shared" si="1"/>
        <v>40</v>
      </c>
      <c r="H34" s="7">
        <v>40</v>
      </c>
      <c r="I34" s="52">
        <f t="shared" si="3"/>
        <v>0</v>
      </c>
      <c r="J34" s="52">
        <f t="shared" si="4"/>
        <v>0</v>
      </c>
      <c r="K34" s="52">
        <f t="shared" si="2"/>
        <v>0</v>
      </c>
      <c r="L34" s="53" t="s">
        <v>27</v>
      </c>
      <c r="M34" s="55"/>
      <c r="O34" s="55"/>
    </row>
    <row r="35" spans="1:15" ht="14.5" x14ac:dyDescent="0.3">
      <c r="A35" s="50" t="s">
        <v>76</v>
      </c>
      <c r="B35" s="51" t="s">
        <v>77</v>
      </c>
      <c r="C35" s="6">
        <v>89</v>
      </c>
      <c r="D35" s="6">
        <v>1</v>
      </c>
      <c r="E35" s="15">
        <f t="shared" si="0"/>
        <v>89</v>
      </c>
      <c r="F35" s="5">
        <v>3</v>
      </c>
      <c r="G35" s="15">
        <f t="shared" si="1"/>
        <v>267</v>
      </c>
      <c r="H35" s="7">
        <v>267</v>
      </c>
      <c r="I35" s="52">
        <f t="shared" si="3"/>
        <v>0</v>
      </c>
      <c r="J35" s="52">
        <v>0</v>
      </c>
      <c r="K35" s="52">
        <f t="shared" si="2"/>
        <v>0</v>
      </c>
      <c r="L35" s="53" t="s">
        <v>27</v>
      </c>
      <c r="M35" s="55"/>
      <c r="O35" s="55"/>
    </row>
    <row r="36" spans="1:15" ht="14.5" x14ac:dyDescent="0.3">
      <c r="A36" s="50" t="s">
        <v>78</v>
      </c>
      <c r="B36" s="51" t="s">
        <v>79</v>
      </c>
      <c r="C36" s="6">
        <v>89</v>
      </c>
      <c r="D36" s="6">
        <v>17</v>
      </c>
      <c r="E36" s="15">
        <f t="shared" si="0"/>
        <v>1513</v>
      </c>
      <c r="F36" s="5">
        <v>1</v>
      </c>
      <c r="G36" s="15">
        <f t="shared" si="1"/>
        <v>1513</v>
      </c>
      <c r="H36" s="7">
        <v>1513</v>
      </c>
      <c r="I36" s="52">
        <f t="shared" si="3"/>
        <v>0</v>
      </c>
      <c r="J36" s="52">
        <v>0</v>
      </c>
      <c r="K36" s="52">
        <f t="shared" si="2"/>
        <v>0</v>
      </c>
      <c r="L36" s="53" t="s">
        <v>27</v>
      </c>
      <c r="M36" s="55"/>
      <c r="O36" s="55"/>
    </row>
    <row r="37" spans="1:15" ht="14.5" x14ac:dyDescent="0.3">
      <c r="A37" s="50" t="s">
        <v>80</v>
      </c>
      <c r="B37" s="51" t="s">
        <v>81</v>
      </c>
      <c r="C37" s="6">
        <v>89</v>
      </c>
      <c r="D37" s="6">
        <v>1</v>
      </c>
      <c r="E37" s="15">
        <f t="shared" si="0"/>
        <v>89</v>
      </c>
      <c r="F37" s="5">
        <v>3</v>
      </c>
      <c r="G37" s="15">
        <f t="shared" si="1"/>
        <v>267</v>
      </c>
      <c r="H37" s="7">
        <v>267</v>
      </c>
      <c r="I37" s="52">
        <f t="shared" si="3"/>
        <v>0</v>
      </c>
      <c r="J37" s="52">
        <v>0</v>
      </c>
      <c r="K37" s="52">
        <f t="shared" si="2"/>
        <v>0</v>
      </c>
      <c r="L37" s="53" t="s">
        <v>27</v>
      </c>
      <c r="M37" s="55"/>
      <c r="O37" s="55"/>
    </row>
    <row r="38" spans="1:15" ht="28" x14ac:dyDescent="0.3">
      <c r="A38" s="60" t="s">
        <v>82</v>
      </c>
      <c r="B38" s="61" t="s">
        <v>253</v>
      </c>
      <c r="C38" s="20">
        <v>89</v>
      </c>
      <c r="D38" s="20">
        <f>(0.33*(37417-150))/89</f>
        <v>138.18101123595505</v>
      </c>
      <c r="E38" s="18">
        <f t="shared" si="0"/>
        <v>12298.11</v>
      </c>
      <c r="F38" s="21">
        <v>0.66800000000000004</v>
      </c>
      <c r="G38" s="18">
        <f>E38*F38</f>
        <v>8215.1374800000012</v>
      </c>
      <c r="H38" s="22">
        <v>8248.2034800000001</v>
      </c>
      <c r="I38" s="62">
        <f t="shared" si="3"/>
        <v>-33.065999999998894</v>
      </c>
      <c r="J38" s="62">
        <v>0</v>
      </c>
      <c r="K38" s="62">
        <f t="shared" si="2"/>
        <v>-33.065999999998894</v>
      </c>
      <c r="L38" s="27" t="s">
        <v>235</v>
      </c>
      <c r="M38" s="55"/>
      <c r="O38" s="55"/>
    </row>
    <row r="39" spans="1:15" ht="14.5" x14ac:dyDescent="0.3">
      <c r="A39" s="50" t="s">
        <v>84</v>
      </c>
      <c r="B39" s="51" t="s">
        <v>85</v>
      </c>
      <c r="C39" s="6">
        <v>89</v>
      </c>
      <c r="D39" s="6">
        <v>1</v>
      </c>
      <c r="E39" s="15">
        <f t="shared" si="0"/>
        <v>89</v>
      </c>
      <c r="F39" s="5">
        <v>8</v>
      </c>
      <c r="G39" s="15">
        <f t="shared" si="1"/>
        <v>712</v>
      </c>
      <c r="H39" s="7">
        <v>712</v>
      </c>
      <c r="I39" s="52">
        <f t="shared" si="3"/>
        <v>0</v>
      </c>
      <c r="J39" s="52">
        <f t="shared" si="4"/>
        <v>0</v>
      </c>
      <c r="K39" s="52">
        <f t="shared" si="2"/>
        <v>0</v>
      </c>
      <c r="L39" s="53" t="s">
        <v>27</v>
      </c>
      <c r="M39" s="55"/>
      <c r="O39" s="55"/>
    </row>
    <row r="40" spans="1:15" ht="25" x14ac:dyDescent="0.3">
      <c r="A40" s="60" t="s">
        <v>84</v>
      </c>
      <c r="B40" s="61" t="s">
        <v>86</v>
      </c>
      <c r="C40" s="62">
        <v>89</v>
      </c>
      <c r="D40" s="20">
        <f>((37417-150)/89)</f>
        <v>418.7303370786517</v>
      </c>
      <c r="E40" s="18">
        <f t="shared" si="0"/>
        <v>37267</v>
      </c>
      <c r="F40" s="21">
        <v>2</v>
      </c>
      <c r="G40" s="18">
        <f t="shared" si="1"/>
        <v>74534</v>
      </c>
      <c r="H40" s="22">
        <v>74834</v>
      </c>
      <c r="I40" s="62">
        <f t="shared" si="3"/>
        <v>-300</v>
      </c>
      <c r="J40" s="62">
        <v>0</v>
      </c>
      <c r="K40" s="62">
        <f t="shared" si="2"/>
        <v>-300</v>
      </c>
      <c r="L40" s="27" t="s">
        <v>235</v>
      </c>
      <c r="M40" s="55"/>
      <c r="O40" s="55"/>
    </row>
    <row r="41" spans="1:15" ht="25" x14ac:dyDescent="0.3">
      <c r="A41" s="60" t="s">
        <v>87</v>
      </c>
      <c r="B41" s="61" t="s">
        <v>88</v>
      </c>
      <c r="C41" s="62">
        <v>89</v>
      </c>
      <c r="D41" s="20">
        <f>(0.05*(37417-150))/89</f>
        <v>20.936516853932584</v>
      </c>
      <c r="E41" s="18">
        <f t="shared" si="0"/>
        <v>1863.35</v>
      </c>
      <c r="F41" s="21">
        <v>1.3340000000000001</v>
      </c>
      <c r="G41" s="18">
        <f t="shared" si="1"/>
        <v>2485.7089000000001</v>
      </c>
      <c r="H41" s="22">
        <v>2495.7139000000002</v>
      </c>
      <c r="I41" s="62">
        <f t="shared" si="3"/>
        <v>-10.005000000000109</v>
      </c>
      <c r="J41" s="62">
        <v>0</v>
      </c>
      <c r="K41" s="62">
        <f t="shared" si="2"/>
        <v>-10.005000000000109</v>
      </c>
      <c r="L41" s="27" t="s">
        <v>235</v>
      </c>
      <c r="M41" s="55"/>
      <c r="O41" s="55"/>
    </row>
    <row r="42" spans="1:15" ht="25" x14ac:dyDescent="0.3">
      <c r="A42" s="60" t="s">
        <v>89</v>
      </c>
      <c r="B42" s="61" t="s">
        <v>90</v>
      </c>
      <c r="C42" s="62">
        <v>89</v>
      </c>
      <c r="D42" s="20">
        <f>((37417-150)*0.05)/89</f>
        <v>20.936516853932584</v>
      </c>
      <c r="E42" s="18">
        <f t="shared" si="0"/>
        <v>1863.35</v>
      </c>
      <c r="F42" s="21">
        <v>2.3340000000000001</v>
      </c>
      <c r="G42" s="18">
        <f t="shared" si="1"/>
        <v>4349.0589</v>
      </c>
      <c r="H42" s="22">
        <v>4366.5639000000001</v>
      </c>
      <c r="I42" s="62">
        <f>G42-H42</f>
        <v>-17.505000000000109</v>
      </c>
      <c r="J42" s="62">
        <v>0</v>
      </c>
      <c r="K42" s="62">
        <f t="shared" si="2"/>
        <v>-17.505000000000109</v>
      </c>
      <c r="L42" s="27" t="s">
        <v>235</v>
      </c>
      <c r="M42" s="55"/>
      <c r="O42" s="55"/>
    </row>
    <row r="43" spans="1:15" ht="28" x14ac:dyDescent="0.3">
      <c r="A43" s="50" t="s">
        <v>91</v>
      </c>
      <c r="B43" s="51" t="s">
        <v>92</v>
      </c>
      <c r="C43" s="52">
        <v>2</v>
      </c>
      <c r="D43" s="6">
        <v>1</v>
      </c>
      <c r="E43" s="15">
        <f t="shared" si="0"/>
        <v>2</v>
      </c>
      <c r="F43" s="5">
        <v>3</v>
      </c>
      <c r="G43" s="15">
        <f t="shared" si="1"/>
        <v>6</v>
      </c>
      <c r="H43" s="7">
        <v>6</v>
      </c>
      <c r="I43" s="52">
        <f t="shared" si="3"/>
        <v>0</v>
      </c>
      <c r="J43" s="52">
        <v>0</v>
      </c>
      <c r="K43" s="52">
        <f t="shared" si="2"/>
        <v>0</v>
      </c>
      <c r="L43" s="53" t="s">
        <v>27</v>
      </c>
      <c r="M43" s="55"/>
      <c r="O43" s="55"/>
    </row>
    <row r="44" spans="1:15" ht="14.5" x14ac:dyDescent="0.3">
      <c r="A44" s="50" t="s">
        <v>93</v>
      </c>
      <c r="B44" s="51" t="s">
        <v>94</v>
      </c>
      <c r="C44" s="52">
        <v>89</v>
      </c>
      <c r="D44" s="6">
        <f>1048/89</f>
        <v>11.775280898876405</v>
      </c>
      <c r="E44" s="15">
        <f t="shared" si="0"/>
        <v>1048</v>
      </c>
      <c r="F44" s="5">
        <v>8.3500000000000005E-2</v>
      </c>
      <c r="G44" s="15">
        <f t="shared" si="1"/>
        <v>87.50800000000001</v>
      </c>
      <c r="H44" s="7">
        <v>87.50800000000001</v>
      </c>
      <c r="I44" s="52">
        <f t="shared" si="3"/>
        <v>0</v>
      </c>
      <c r="J44" s="52">
        <v>0</v>
      </c>
      <c r="K44" s="52">
        <f t="shared" si="2"/>
        <v>0</v>
      </c>
      <c r="L44" s="53" t="s">
        <v>27</v>
      </c>
      <c r="M44" s="55"/>
      <c r="O44" s="55"/>
    </row>
    <row r="45" spans="1:15" ht="14.5" x14ac:dyDescent="0.3">
      <c r="A45" s="50" t="s">
        <v>95</v>
      </c>
      <c r="B45" s="51" t="s">
        <v>96</v>
      </c>
      <c r="C45" s="52">
        <v>1</v>
      </c>
      <c r="D45" s="6">
        <v>12</v>
      </c>
      <c r="E45" s="15">
        <f>C45*D45</f>
        <v>12</v>
      </c>
      <c r="F45" s="5">
        <v>40</v>
      </c>
      <c r="G45" s="15">
        <f>E45*F45</f>
        <v>480</v>
      </c>
      <c r="H45" s="7">
        <v>480</v>
      </c>
      <c r="I45" s="52">
        <f t="shared" si="3"/>
        <v>0</v>
      </c>
      <c r="J45" s="52">
        <v>0</v>
      </c>
      <c r="K45" s="52">
        <f t="shared" si="2"/>
        <v>0</v>
      </c>
      <c r="L45" s="53" t="s">
        <v>27</v>
      </c>
      <c r="M45" s="55"/>
      <c r="O45" s="55"/>
    </row>
    <row r="46" spans="1:15" ht="14.5" x14ac:dyDescent="0.3">
      <c r="A46" s="50" t="s">
        <v>97</v>
      </c>
      <c r="B46" s="51" t="s">
        <v>98</v>
      </c>
      <c r="C46" s="6">
        <v>89</v>
      </c>
      <c r="D46" s="6">
        <f>10000/89</f>
        <v>112.35955056179775</v>
      </c>
      <c r="E46" s="15">
        <f t="shared" si="0"/>
        <v>10000</v>
      </c>
      <c r="F46" s="5">
        <v>1</v>
      </c>
      <c r="G46" s="15">
        <f t="shared" si="1"/>
        <v>10000</v>
      </c>
      <c r="H46" s="7">
        <v>10000</v>
      </c>
      <c r="I46" s="52">
        <f t="shared" si="3"/>
        <v>0</v>
      </c>
      <c r="J46" s="52">
        <f t="shared" si="4"/>
        <v>0</v>
      </c>
      <c r="K46" s="52">
        <f t="shared" si="2"/>
        <v>0</v>
      </c>
      <c r="L46" s="53" t="s">
        <v>27</v>
      </c>
      <c r="M46" s="55"/>
      <c r="O46" s="55"/>
    </row>
    <row r="47" spans="1:15" ht="28" x14ac:dyDescent="0.3">
      <c r="A47" s="50" t="s">
        <v>99</v>
      </c>
      <c r="B47" s="51" t="s">
        <v>100</v>
      </c>
      <c r="C47" s="6">
        <v>89</v>
      </c>
      <c r="D47" s="6">
        <v>1</v>
      </c>
      <c r="E47" s="15">
        <f t="shared" si="0"/>
        <v>89</v>
      </c>
      <c r="F47" s="5">
        <v>2</v>
      </c>
      <c r="G47" s="15">
        <f t="shared" si="1"/>
        <v>178</v>
      </c>
      <c r="H47" s="7">
        <v>178</v>
      </c>
      <c r="I47" s="52">
        <f t="shared" si="3"/>
        <v>0</v>
      </c>
      <c r="J47" s="52">
        <v>0</v>
      </c>
      <c r="K47" s="52">
        <f t="shared" si="2"/>
        <v>0</v>
      </c>
      <c r="L47" s="53" t="s">
        <v>27</v>
      </c>
      <c r="M47" s="55"/>
      <c r="O47" s="55"/>
    </row>
    <row r="48" spans="1:15" ht="14.5" x14ac:dyDescent="0.3">
      <c r="A48" s="50" t="s">
        <v>101</v>
      </c>
      <c r="B48" s="51" t="s">
        <v>102</v>
      </c>
      <c r="C48" s="6">
        <v>89</v>
      </c>
      <c r="D48" s="6">
        <v>1</v>
      </c>
      <c r="E48" s="15">
        <f t="shared" si="0"/>
        <v>89</v>
      </c>
      <c r="F48" s="5">
        <v>40</v>
      </c>
      <c r="G48" s="15">
        <f t="shared" si="1"/>
        <v>3560</v>
      </c>
      <c r="H48" s="7">
        <v>3560</v>
      </c>
      <c r="I48" s="52">
        <f t="shared" si="3"/>
        <v>0</v>
      </c>
      <c r="J48" s="52">
        <f t="shared" si="4"/>
        <v>0</v>
      </c>
      <c r="K48" s="52">
        <f t="shared" si="2"/>
        <v>0</v>
      </c>
      <c r="L48" s="53" t="s">
        <v>27</v>
      </c>
      <c r="M48" s="55"/>
      <c r="O48" s="55"/>
    </row>
    <row r="49" spans="1:15" ht="14.5" x14ac:dyDescent="0.3">
      <c r="A49" s="50" t="s">
        <v>103</v>
      </c>
      <c r="B49" s="51" t="s">
        <v>104</v>
      </c>
      <c r="C49" s="6">
        <v>89</v>
      </c>
      <c r="D49" s="6">
        <f>(6243960*0.02)/89</f>
        <v>1403.1370786516854</v>
      </c>
      <c r="E49" s="15">
        <f t="shared" si="0"/>
        <v>124879.20000000001</v>
      </c>
      <c r="F49" s="5">
        <v>8.3500000000000005E-2</v>
      </c>
      <c r="G49" s="15">
        <f t="shared" si="1"/>
        <v>10427.413200000001</v>
      </c>
      <c r="H49" s="7">
        <v>10427.413200000001</v>
      </c>
      <c r="I49" s="52">
        <f t="shared" si="3"/>
        <v>0</v>
      </c>
      <c r="J49" s="52">
        <v>0</v>
      </c>
      <c r="K49" s="52">
        <f t="shared" si="2"/>
        <v>0</v>
      </c>
      <c r="L49" s="53" t="s">
        <v>27</v>
      </c>
      <c r="M49" s="55"/>
      <c r="O49" s="55"/>
    </row>
    <row r="50" spans="1:15" ht="28" x14ac:dyDescent="0.3">
      <c r="A50" s="50" t="s">
        <v>105</v>
      </c>
      <c r="B50" s="51" t="s">
        <v>254</v>
      </c>
      <c r="C50" s="6">
        <v>89</v>
      </c>
      <c r="D50" s="6">
        <f>(0.33*3289)/89</f>
        <v>12.195168539325843</v>
      </c>
      <c r="E50" s="15">
        <f t="shared" si="0"/>
        <v>1085.3700000000001</v>
      </c>
      <c r="F50" s="5">
        <v>0.66800000000000004</v>
      </c>
      <c r="G50" s="15">
        <f t="shared" si="1"/>
        <v>725.02716000000009</v>
      </c>
      <c r="H50" s="7">
        <v>725.02716000000009</v>
      </c>
      <c r="I50" s="52">
        <f t="shared" si="3"/>
        <v>0</v>
      </c>
      <c r="J50" s="52">
        <v>0</v>
      </c>
      <c r="K50" s="52">
        <f t="shared" si="2"/>
        <v>0</v>
      </c>
      <c r="L50" s="53" t="s">
        <v>27</v>
      </c>
      <c r="M50" s="55"/>
      <c r="O50" s="55"/>
    </row>
    <row r="51" spans="1:15" ht="14.5" x14ac:dyDescent="0.3">
      <c r="A51" s="50" t="s">
        <v>107</v>
      </c>
      <c r="B51" s="51" t="s">
        <v>255</v>
      </c>
      <c r="C51" s="6">
        <v>89</v>
      </c>
      <c r="D51" s="6">
        <f>(3289*0.02)/89</f>
        <v>0.73910112359550562</v>
      </c>
      <c r="E51" s="15">
        <f>C51*D51</f>
        <v>65.78</v>
      </c>
      <c r="F51" s="5">
        <v>8.3500000000000005E-2</v>
      </c>
      <c r="G51" s="15">
        <f>E51*F51</f>
        <v>5.4926300000000001</v>
      </c>
      <c r="H51" s="7">
        <v>5.4926300000000001</v>
      </c>
      <c r="I51" s="52">
        <f t="shared" si="3"/>
        <v>0</v>
      </c>
      <c r="J51" s="52">
        <v>0</v>
      </c>
      <c r="K51" s="52">
        <f t="shared" si="2"/>
        <v>0</v>
      </c>
      <c r="L51" s="53" t="s">
        <v>27</v>
      </c>
      <c r="M51" s="55"/>
      <c r="O51" s="55"/>
    </row>
    <row r="52" spans="1:15" ht="28" x14ac:dyDescent="0.3">
      <c r="A52" s="50" t="s">
        <v>109</v>
      </c>
      <c r="B52" s="51" t="s">
        <v>110</v>
      </c>
      <c r="C52" s="6">
        <v>89</v>
      </c>
      <c r="D52" s="6">
        <v>1</v>
      </c>
      <c r="E52" s="15">
        <f>C52*D52</f>
        <v>89</v>
      </c>
      <c r="F52" s="5">
        <v>3</v>
      </c>
      <c r="G52" s="15">
        <f>E52*F52</f>
        <v>267</v>
      </c>
      <c r="H52" s="7">
        <v>267</v>
      </c>
      <c r="I52" s="52">
        <f t="shared" si="3"/>
        <v>0</v>
      </c>
      <c r="J52" s="52">
        <v>0</v>
      </c>
      <c r="K52" s="52">
        <f t="shared" si="2"/>
        <v>0</v>
      </c>
      <c r="L52" s="53" t="s">
        <v>27</v>
      </c>
      <c r="M52" s="55"/>
      <c r="O52" s="55"/>
    </row>
    <row r="53" spans="1:15" ht="14.5" x14ac:dyDescent="0.3">
      <c r="A53" s="50" t="s">
        <v>111</v>
      </c>
      <c r="B53" s="51" t="s">
        <v>112</v>
      </c>
      <c r="C53" s="6">
        <v>20</v>
      </c>
      <c r="D53" s="6">
        <v>1</v>
      </c>
      <c r="E53" s="15">
        <f t="shared" si="0"/>
        <v>20</v>
      </c>
      <c r="F53" s="5">
        <v>160</v>
      </c>
      <c r="G53" s="15">
        <f t="shared" si="1"/>
        <v>3200</v>
      </c>
      <c r="H53" s="7">
        <v>3200</v>
      </c>
      <c r="I53" s="52">
        <f t="shared" si="3"/>
        <v>0</v>
      </c>
      <c r="J53" s="52">
        <f t="shared" si="4"/>
        <v>0</v>
      </c>
      <c r="K53" s="52">
        <f t="shared" si="2"/>
        <v>0</v>
      </c>
      <c r="L53" s="53" t="s">
        <v>27</v>
      </c>
      <c r="M53" s="55"/>
      <c r="O53" s="55"/>
    </row>
    <row r="54" spans="1:15" ht="28" x14ac:dyDescent="0.3">
      <c r="A54" s="50" t="s">
        <v>113</v>
      </c>
      <c r="B54" s="51" t="s">
        <v>114</v>
      </c>
      <c r="C54" s="6">
        <v>27</v>
      </c>
      <c r="D54" s="6">
        <v>1</v>
      </c>
      <c r="E54" s="15">
        <f t="shared" si="0"/>
        <v>27</v>
      </c>
      <c r="F54" s="5">
        <v>2</v>
      </c>
      <c r="G54" s="15">
        <f t="shared" si="1"/>
        <v>54</v>
      </c>
      <c r="H54" s="7">
        <v>54</v>
      </c>
      <c r="I54" s="52">
        <f t="shared" si="3"/>
        <v>0</v>
      </c>
      <c r="J54" s="52">
        <v>0</v>
      </c>
      <c r="K54" s="52">
        <f t="shared" si="2"/>
        <v>0</v>
      </c>
      <c r="L54" s="53" t="s">
        <v>27</v>
      </c>
      <c r="M54" s="55"/>
      <c r="O54" s="55"/>
    </row>
    <row r="55" spans="1:15" ht="14.5" x14ac:dyDescent="0.3">
      <c r="A55" s="50" t="s">
        <v>115</v>
      </c>
      <c r="B55" s="51" t="s">
        <v>116</v>
      </c>
      <c r="C55" s="6">
        <v>89</v>
      </c>
      <c r="D55" s="6">
        <f>(1810*4)/89</f>
        <v>81.348314606741567</v>
      </c>
      <c r="E55" s="15">
        <f t="shared" si="0"/>
        <v>7239.9999999999991</v>
      </c>
      <c r="F55" s="5">
        <v>2</v>
      </c>
      <c r="G55" s="15">
        <f t="shared" si="1"/>
        <v>14479.999999999998</v>
      </c>
      <c r="H55" s="7">
        <v>14479.999999999998</v>
      </c>
      <c r="I55" s="52">
        <v>0</v>
      </c>
      <c r="J55" s="52">
        <f t="shared" si="4"/>
        <v>0</v>
      </c>
      <c r="K55" s="52">
        <f t="shared" si="2"/>
        <v>0</v>
      </c>
      <c r="L55" s="53" t="s">
        <v>27</v>
      </c>
      <c r="M55" s="55"/>
      <c r="O55" s="55"/>
    </row>
    <row r="56" spans="1:15" ht="42" x14ac:dyDescent="0.3">
      <c r="A56" s="50" t="s">
        <v>117</v>
      </c>
      <c r="B56" s="51" t="s">
        <v>118</v>
      </c>
      <c r="C56" s="6">
        <v>30</v>
      </c>
      <c r="D56" s="6">
        <v>1</v>
      </c>
      <c r="E56" s="15">
        <f t="shared" si="0"/>
        <v>30</v>
      </c>
      <c r="F56" s="5">
        <v>1.5</v>
      </c>
      <c r="G56" s="15">
        <f t="shared" si="1"/>
        <v>45</v>
      </c>
      <c r="H56" s="7">
        <v>45</v>
      </c>
      <c r="I56" s="52">
        <f t="shared" si="3"/>
        <v>0</v>
      </c>
      <c r="J56" s="52">
        <v>0</v>
      </c>
      <c r="K56" s="52">
        <f t="shared" si="2"/>
        <v>0</v>
      </c>
      <c r="L56" s="53" t="s">
        <v>27</v>
      </c>
      <c r="M56" s="55"/>
      <c r="O56" s="55"/>
    </row>
    <row r="57" spans="1:15" ht="28" x14ac:dyDescent="0.3">
      <c r="A57" s="50" t="s">
        <v>119</v>
      </c>
      <c r="B57" s="51" t="s">
        <v>120</v>
      </c>
      <c r="C57" s="6">
        <f>79/5</f>
        <v>15.8</v>
      </c>
      <c r="D57" s="6">
        <v>1</v>
      </c>
      <c r="E57" s="15">
        <f t="shared" si="0"/>
        <v>15.8</v>
      </c>
      <c r="F57" s="5">
        <v>1968</v>
      </c>
      <c r="G57" s="15">
        <f t="shared" si="1"/>
        <v>31094.400000000001</v>
      </c>
      <c r="H57" s="7">
        <v>31094.400000000001</v>
      </c>
      <c r="I57" s="52">
        <f t="shared" si="3"/>
        <v>0</v>
      </c>
      <c r="J57" s="52">
        <v>0</v>
      </c>
      <c r="K57" s="52">
        <f t="shared" si="2"/>
        <v>0</v>
      </c>
      <c r="L57" s="53" t="s">
        <v>27</v>
      </c>
      <c r="M57" s="55"/>
      <c r="O57" s="55"/>
    </row>
    <row r="58" spans="1:15" ht="14.5" x14ac:dyDescent="0.3">
      <c r="A58" s="50" t="s">
        <v>121</v>
      </c>
      <c r="B58" s="51" t="s">
        <v>122</v>
      </c>
      <c r="C58" s="6">
        <v>2</v>
      </c>
      <c r="D58" s="6">
        <v>1</v>
      </c>
      <c r="E58" s="15">
        <f t="shared" si="0"/>
        <v>2</v>
      </c>
      <c r="F58" s="5">
        <v>8</v>
      </c>
      <c r="G58" s="15">
        <f t="shared" si="1"/>
        <v>16</v>
      </c>
      <c r="H58" s="7">
        <v>16</v>
      </c>
      <c r="I58" s="52">
        <f t="shared" si="3"/>
        <v>0</v>
      </c>
      <c r="J58" s="52">
        <v>0</v>
      </c>
      <c r="K58" s="52">
        <f t="shared" si="2"/>
        <v>0</v>
      </c>
      <c r="L58" s="53" t="s">
        <v>27</v>
      </c>
      <c r="M58" s="55"/>
      <c r="O58" s="55"/>
    </row>
    <row r="59" spans="1:15" ht="28" x14ac:dyDescent="0.3">
      <c r="A59" s="50" t="s">
        <v>123</v>
      </c>
      <c r="B59" s="51" t="s">
        <v>124</v>
      </c>
      <c r="C59" s="6">
        <v>2</v>
      </c>
      <c r="D59" s="6">
        <v>1</v>
      </c>
      <c r="E59" s="15">
        <f t="shared" si="0"/>
        <v>2</v>
      </c>
      <c r="F59" s="5">
        <v>480</v>
      </c>
      <c r="G59" s="15">
        <f t="shared" si="1"/>
        <v>960</v>
      </c>
      <c r="H59" s="7">
        <v>960</v>
      </c>
      <c r="I59" s="52">
        <f t="shared" si="3"/>
        <v>0</v>
      </c>
      <c r="J59" s="52">
        <v>0</v>
      </c>
      <c r="K59" s="52">
        <f t="shared" si="2"/>
        <v>0</v>
      </c>
      <c r="L59" s="53" t="s">
        <v>27</v>
      </c>
      <c r="M59" s="55"/>
      <c r="O59" s="55"/>
    </row>
    <row r="60" spans="1:15" ht="28" x14ac:dyDescent="0.3">
      <c r="A60" s="50" t="s">
        <v>243</v>
      </c>
      <c r="B60" s="51" t="s">
        <v>244</v>
      </c>
      <c r="C60" s="6">
        <v>74</v>
      </c>
      <c r="D60" s="6">
        <v>1</v>
      </c>
      <c r="E60" s="15">
        <f t="shared" si="0"/>
        <v>74</v>
      </c>
      <c r="F60" s="5">
        <v>40</v>
      </c>
      <c r="G60" s="15">
        <f t="shared" si="1"/>
        <v>2960</v>
      </c>
      <c r="H60" s="7">
        <v>2960</v>
      </c>
      <c r="I60" s="52">
        <f t="shared" si="3"/>
        <v>0</v>
      </c>
      <c r="J60" s="52">
        <v>0</v>
      </c>
      <c r="K60" s="52">
        <f t="shared" si="2"/>
        <v>0</v>
      </c>
      <c r="L60" s="53" t="s">
        <v>27</v>
      </c>
      <c r="M60" s="55"/>
      <c r="O60" s="55"/>
    </row>
    <row r="61" spans="1:15" ht="14.5" x14ac:dyDescent="0.3">
      <c r="A61" s="50" t="s">
        <v>125</v>
      </c>
      <c r="B61" s="51" t="s">
        <v>126</v>
      </c>
      <c r="C61" s="6">
        <v>89</v>
      </c>
      <c r="D61" s="6">
        <f>(10/89)</f>
        <v>0.11235955056179775</v>
      </c>
      <c r="E61" s="15">
        <f t="shared" si="0"/>
        <v>10</v>
      </c>
      <c r="F61" s="5">
        <v>8</v>
      </c>
      <c r="G61" s="15">
        <f t="shared" si="1"/>
        <v>80</v>
      </c>
      <c r="H61" s="7">
        <v>80</v>
      </c>
      <c r="I61" s="52">
        <f t="shared" si="3"/>
        <v>0</v>
      </c>
      <c r="J61" s="52">
        <f t="shared" si="4"/>
        <v>0</v>
      </c>
      <c r="K61" s="52">
        <f t="shared" si="2"/>
        <v>0</v>
      </c>
      <c r="L61" s="53" t="s">
        <v>27</v>
      </c>
      <c r="M61" s="55"/>
      <c r="O61" s="55"/>
    </row>
    <row r="62" spans="1:15" ht="28" x14ac:dyDescent="0.3">
      <c r="A62" s="50">
        <v>246.18</v>
      </c>
      <c r="B62" s="51" t="s">
        <v>127</v>
      </c>
      <c r="C62" s="6">
        <v>89</v>
      </c>
      <c r="D62" s="6">
        <f>((1048+65.78)*0.02)/89</f>
        <v>0.25028764044943819</v>
      </c>
      <c r="E62" s="15">
        <f t="shared" si="0"/>
        <v>22.275599999999997</v>
      </c>
      <c r="F62" s="5">
        <v>2</v>
      </c>
      <c r="G62" s="15">
        <f t="shared" si="1"/>
        <v>44.551199999999994</v>
      </c>
      <c r="H62" s="7">
        <v>44.551199999999994</v>
      </c>
      <c r="I62" s="52">
        <f t="shared" si="3"/>
        <v>0</v>
      </c>
      <c r="J62" s="52">
        <v>0</v>
      </c>
      <c r="K62" s="52">
        <f t="shared" si="2"/>
        <v>0</v>
      </c>
      <c r="L62" s="53" t="s">
        <v>27</v>
      </c>
      <c r="M62" s="55"/>
      <c r="O62" s="55"/>
    </row>
    <row r="63" spans="1:15" ht="14.5" x14ac:dyDescent="0.3">
      <c r="A63" s="50" t="s">
        <v>128</v>
      </c>
      <c r="B63" s="51" t="s">
        <v>129</v>
      </c>
      <c r="C63" s="6">
        <f>89*0.33</f>
        <v>29.37</v>
      </c>
      <c r="D63" s="6">
        <v>1</v>
      </c>
      <c r="E63" s="15">
        <f t="shared" si="0"/>
        <v>29.37</v>
      </c>
      <c r="F63" s="5">
        <v>30</v>
      </c>
      <c r="G63" s="15">
        <f t="shared" si="1"/>
        <v>881.1</v>
      </c>
      <c r="H63" s="7">
        <v>881.1</v>
      </c>
      <c r="I63" s="52">
        <f t="shared" si="3"/>
        <v>0</v>
      </c>
      <c r="J63" s="52">
        <f t="shared" si="4"/>
        <v>0</v>
      </c>
      <c r="K63" s="52">
        <f t="shared" si="2"/>
        <v>0</v>
      </c>
      <c r="L63" s="53" t="s">
        <v>27</v>
      </c>
      <c r="M63" s="55"/>
      <c r="O63" s="55"/>
    </row>
    <row r="64" spans="1:15" ht="14.5" x14ac:dyDescent="0.3">
      <c r="A64" s="50" t="s">
        <v>128</v>
      </c>
      <c r="B64" s="51" t="s">
        <v>130</v>
      </c>
      <c r="C64" s="6">
        <v>17</v>
      </c>
      <c r="D64" s="6">
        <v>1</v>
      </c>
      <c r="E64" s="15">
        <f t="shared" si="0"/>
        <v>17</v>
      </c>
      <c r="F64" s="5">
        <v>3</v>
      </c>
      <c r="G64" s="15">
        <f t="shared" si="1"/>
        <v>51</v>
      </c>
      <c r="H64" s="7">
        <v>51</v>
      </c>
      <c r="I64" s="52">
        <f t="shared" si="3"/>
        <v>0</v>
      </c>
      <c r="J64" s="52">
        <v>0</v>
      </c>
      <c r="K64" s="52">
        <f t="shared" si="2"/>
        <v>0</v>
      </c>
      <c r="L64" s="53" t="s">
        <v>27</v>
      </c>
      <c r="M64" s="55"/>
      <c r="O64" s="55"/>
    </row>
    <row r="65" spans="1:15" ht="14.5" x14ac:dyDescent="0.3">
      <c r="A65" s="50" t="s">
        <v>131</v>
      </c>
      <c r="B65" s="51" t="s">
        <v>132</v>
      </c>
      <c r="C65" s="6">
        <v>89</v>
      </c>
      <c r="D65" s="6">
        <f>(1810/2)/89</f>
        <v>10.168539325842696</v>
      </c>
      <c r="E65" s="15">
        <f t="shared" si="0"/>
        <v>904.99999999999989</v>
      </c>
      <c r="F65" s="5">
        <v>2</v>
      </c>
      <c r="G65" s="15">
        <f t="shared" si="1"/>
        <v>1809.9999999999998</v>
      </c>
      <c r="H65" s="7">
        <v>1809.9999999999998</v>
      </c>
      <c r="I65" s="52">
        <f t="shared" si="3"/>
        <v>0</v>
      </c>
      <c r="J65" s="52">
        <v>0</v>
      </c>
      <c r="K65" s="52">
        <f t="shared" si="2"/>
        <v>0</v>
      </c>
      <c r="L65" s="53" t="s">
        <v>27</v>
      </c>
      <c r="M65" s="55"/>
      <c r="O65" s="55"/>
    </row>
    <row r="66" spans="1:15" ht="14.5" x14ac:dyDescent="0.3">
      <c r="A66" s="50" t="s">
        <v>133</v>
      </c>
      <c r="B66" s="51" t="s">
        <v>134</v>
      </c>
      <c r="C66" s="6">
        <v>89</v>
      </c>
      <c r="D66" s="6">
        <f>(1810/89)*0.5*0.25</f>
        <v>2.542134831460674</v>
      </c>
      <c r="E66" s="15">
        <f t="shared" si="0"/>
        <v>226.24999999999997</v>
      </c>
      <c r="F66" s="5">
        <v>2</v>
      </c>
      <c r="G66" s="15">
        <f t="shared" si="1"/>
        <v>452.49999999999994</v>
      </c>
      <c r="H66" s="7">
        <v>452.49999999999994</v>
      </c>
      <c r="I66" s="52">
        <v>0</v>
      </c>
      <c r="J66" s="52">
        <f t="shared" si="4"/>
        <v>0</v>
      </c>
      <c r="K66" s="52">
        <f t="shared" si="2"/>
        <v>0</v>
      </c>
      <c r="L66" s="53" t="s">
        <v>27</v>
      </c>
      <c r="M66" s="55"/>
      <c r="O66" s="55"/>
    </row>
    <row r="67" spans="1:15" ht="14.5" x14ac:dyDescent="0.3">
      <c r="A67" s="70" t="s">
        <v>135</v>
      </c>
      <c r="B67" s="51" t="s">
        <v>136</v>
      </c>
      <c r="C67" s="6">
        <v>1</v>
      </c>
      <c r="D67" s="6">
        <v>1</v>
      </c>
      <c r="E67" s="15">
        <f t="shared" si="0"/>
        <v>1</v>
      </c>
      <c r="F67" s="5">
        <v>40</v>
      </c>
      <c r="G67" s="15">
        <f t="shared" si="1"/>
        <v>40</v>
      </c>
      <c r="H67" s="7">
        <v>40</v>
      </c>
      <c r="I67" s="52">
        <f t="shared" si="3"/>
        <v>0</v>
      </c>
      <c r="J67" s="52">
        <f t="shared" si="4"/>
        <v>0</v>
      </c>
      <c r="K67" s="52">
        <f t="shared" si="2"/>
        <v>0</v>
      </c>
      <c r="L67" s="53" t="s">
        <v>27</v>
      </c>
      <c r="M67" s="55"/>
    </row>
    <row r="68" spans="1:15" ht="14.5" x14ac:dyDescent="0.3">
      <c r="A68" s="71" t="s">
        <v>137</v>
      </c>
      <c r="B68" s="72" t="s">
        <v>138</v>
      </c>
      <c r="C68" s="6">
        <v>89</v>
      </c>
      <c r="D68" s="6">
        <v>1</v>
      </c>
      <c r="E68" s="15">
        <f t="shared" si="0"/>
        <v>89</v>
      </c>
      <c r="F68" s="5">
        <v>8</v>
      </c>
      <c r="G68" s="15">
        <f t="shared" si="1"/>
        <v>712</v>
      </c>
      <c r="H68" s="7">
        <v>712</v>
      </c>
      <c r="I68" s="52">
        <f t="shared" si="3"/>
        <v>0</v>
      </c>
      <c r="J68" s="52">
        <v>0</v>
      </c>
      <c r="K68" s="52">
        <f t="shared" si="2"/>
        <v>0</v>
      </c>
      <c r="L68" s="53" t="s">
        <v>27</v>
      </c>
      <c r="M68" s="55"/>
    </row>
    <row r="69" spans="1:15" ht="14.5" x14ac:dyDescent="0.3">
      <c r="A69" s="50" t="s">
        <v>139</v>
      </c>
      <c r="B69" s="51" t="s">
        <v>140</v>
      </c>
      <c r="C69" s="6">
        <v>1</v>
      </c>
      <c r="D69" s="6">
        <v>1</v>
      </c>
      <c r="E69" s="15">
        <f t="shared" si="0"/>
        <v>1</v>
      </c>
      <c r="F69" s="5">
        <v>2</v>
      </c>
      <c r="G69" s="15">
        <f t="shared" si="1"/>
        <v>2</v>
      </c>
      <c r="H69" s="7">
        <v>2</v>
      </c>
      <c r="I69" s="52">
        <f t="shared" si="3"/>
        <v>0</v>
      </c>
      <c r="J69" s="52">
        <v>0</v>
      </c>
      <c r="K69" s="52">
        <f t="shared" si="2"/>
        <v>0</v>
      </c>
      <c r="L69" s="53" t="s">
        <v>27</v>
      </c>
      <c r="M69" s="55"/>
    </row>
    <row r="70" spans="1:15" ht="14.5" x14ac:dyDescent="0.3">
      <c r="A70" s="50" t="s">
        <v>141</v>
      </c>
      <c r="B70" s="51" t="s">
        <v>142</v>
      </c>
      <c r="C70" s="6">
        <v>1</v>
      </c>
      <c r="D70" s="6">
        <v>1</v>
      </c>
      <c r="E70" s="15">
        <f t="shared" si="0"/>
        <v>1</v>
      </c>
      <c r="F70" s="5">
        <v>2</v>
      </c>
      <c r="G70" s="15">
        <f t="shared" si="1"/>
        <v>2</v>
      </c>
      <c r="H70" s="7">
        <v>2</v>
      </c>
      <c r="I70" s="52">
        <f t="shared" si="3"/>
        <v>0</v>
      </c>
      <c r="J70" s="52">
        <v>0</v>
      </c>
      <c r="K70" s="52">
        <f t="shared" si="2"/>
        <v>0</v>
      </c>
      <c r="L70" s="53" t="s">
        <v>27</v>
      </c>
      <c r="M70" s="55"/>
    </row>
    <row r="71" spans="1:15" ht="28.5" thickBot="1" x14ac:dyDescent="0.35">
      <c r="A71" s="73" t="s">
        <v>143</v>
      </c>
      <c r="B71" s="74" t="s">
        <v>144</v>
      </c>
      <c r="C71" s="6">
        <f>(89*0.25)</f>
        <v>22.25</v>
      </c>
      <c r="D71" s="6">
        <v>1</v>
      </c>
      <c r="E71" s="15">
        <f t="shared" si="0"/>
        <v>22.25</v>
      </c>
      <c r="F71" s="5">
        <v>0.25</v>
      </c>
      <c r="G71" s="15">
        <f t="shared" si="1"/>
        <v>5.5625</v>
      </c>
      <c r="H71" s="7">
        <v>5.5625</v>
      </c>
      <c r="I71" s="52">
        <f t="shared" si="3"/>
        <v>0</v>
      </c>
      <c r="J71" s="52">
        <v>0</v>
      </c>
      <c r="K71" s="52">
        <f t="shared" si="2"/>
        <v>0</v>
      </c>
      <c r="L71" s="53" t="s">
        <v>27</v>
      </c>
      <c r="M71" s="55"/>
    </row>
    <row r="72" spans="1:15" ht="14.5" thickBot="1" x14ac:dyDescent="0.35">
      <c r="A72" s="407" t="s">
        <v>145</v>
      </c>
      <c r="B72" s="407"/>
      <c r="C72" s="75">
        <f>C5+1267</f>
        <v>1356</v>
      </c>
      <c r="D72" s="75">
        <f>E72/C72</f>
        <v>10076.844580555276</v>
      </c>
      <c r="E72" s="75">
        <f>SUM(E5:E71)</f>
        <v>13664201.251232954</v>
      </c>
      <c r="F72" s="76">
        <f>G72/E72</f>
        <v>0.28793801942663849</v>
      </c>
      <c r="G72" s="487">
        <f>SUM(G5:G71)</f>
        <v>3934443.0453270124</v>
      </c>
      <c r="H72" s="77">
        <f>SUM(H5:H71)</f>
        <v>3349222.4821270127</v>
      </c>
      <c r="I72" s="76">
        <f>SUM(I5:I71)</f>
        <v>585220.56320000021</v>
      </c>
      <c r="J72" s="78">
        <f>SUM(J5:J12)+SUM(J13:J71)</f>
        <v>0</v>
      </c>
      <c r="K72" s="79">
        <f>G72-H72</f>
        <v>585220.56319999974</v>
      </c>
      <c r="L72" s="80"/>
    </row>
    <row r="73" spans="1:15" ht="14.5" thickBot="1" x14ac:dyDescent="0.35">
      <c r="A73" s="408" t="s">
        <v>146</v>
      </c>
      <c r="B73" s="409"/>
      <c r="C73" s="409"/>
      <c r="D73" s="409"/>
      <c r="E73" s="409"/>
      <c r="F73" s="409"/>
      <c r="G73" s="409"/>
      <c r="H73" s="409"/>
      <c r="I73" s="409"/>
      <c r="J73" s="409"/>
      <c r="K73" s="409"/>
      <c r="L73" s="410"/>
      <c r="M73" s="55"/>
      <c r="N73" s="55"/>
    </row>
    <row r="74" spans="1:15" ht="24.75" customHeight="1" x14ac:dyDescent="0.3">
      <c r="A74" s="60" t="s">
        <v>40</v>
      </c>
      <c r="B74" s="61" t="s">
        <v>43</v>
      </c>
      <c r="C74" s="136">
        <v>1379126</v>
      </c>
      <c r="D74" s="20">
        <v>1</v>
      </c>
      <c r="E74" s="18">
        <f>C74*D74</f>
        <v>1379126</v>
      </c>
      <c r="F74" s="21">
        <v>0.46760000000000002</v>
      </c>
      <c r="G74" s="18">
        <f>E74*F74</f>
        <v>644879.31760000007</v>
      </c>
      <c r="H74" s="22">
        <v>575785.10499999998</v>
      </c>
      <c r="I74" s="135">
        <f t="shared" ref="I74:I85" si="5">G74-H74</f>
        <v>69094.212600000086</v>
      </c>
      <c r="J74" s="62">
        <v>0</v>
      </c>
      <c r="K74" s="62">
        <f>G74-H74</f>
        <v>69094.212600000086</v>
      </c>
      <c r="L74" s="19" t="s">
        <v>230</v>
      </c>
      <c r="M74" s="55"/>
      <c r="N74" s="55"/>
      <c r="O74" s="55"/>
    </row>
    <row r="75" spans="1:15" ht="24.75" customHeight="1" x14ac:dyDescent="0.3">
      <c r="A75" s="60" t="s">
        <v>40</v>
      </c>
      <c r="B75" s="61" t="s">
        <v>147</v>
      </c>
      <c r="C75" s="137">
        <v>3400090</v>
      </c>
      <c r="D75" s="20">
        <v>1</v>
      </c>
      <c r="E75" s="18">
        <f t="shared" ref="E75:E85" si="6">C75*D75</f>
        <v>3400090</v>
      </c>
      <c r="F75" s="21">
        <v>0.46760000000000002</v>
      </c>
      <c r="G75" s="18">
        <f t="shared" ref="G75:G85" si="7">E75*F75</f>
        <v>1589882.084</v>
      </c>
      <c r="H75" s="22">
        <v>1419537.575</v>
      </c>
      <c r="I75" s="135">
        <f t="shared" si="5"/>
        <v>170344.50900000008</v>
      </c>
      <c r="J75" s="62">
        <v>0</v>
      </c>
      <c r="K75" s="62">
        <f t="shared" ref="K75:K85" si="8">G75-H75</f>
        <v>170344.50900000008</v>
      </c>
      <c r="L75" s="19" t="s">
        <v>230</v>
      </c>
      <c r="M75" s="55"/>
      <c r="N75" s="55"/>
    </row>
    <row r="76" spans="1:15" ht="24.75" customHeight="1" x14ac:dyDescent="0.3">
      <c r="A76" s="60" t="s">
        <v>40</v>
      </c>
      <c r="B76" s="61" t="s">
        <v>45</v>
      </c>
      <c r="C76" s="136">
        <v>1464744</v>
      </c>
      <c r="D76" s="20">
        <v>1</v>
      </c>
      <c r="E76" s="18">
        <f t="shared" si="6"/>
        <v>1464744</v>
      </c>
      <c r="F76" s="21">
        <v>0.46760000000000002</v>
      </c>
      <c r="G76" s="18">
        <f t="shared" si="7"/>
        <v>684914.29440000001</v>
      </c>
      <c r="H76" s="22">
        <v>611530.62</v>
      </c>
      <c r="I76" s="135">
        <f t="shared" si="5"/>
        <v>73383.674400000018</v>
      </c>
      <c r="J76" s="62">
        <v>0</v>
      </c>
      <c r="K76" s="62">
        <f t="shared" si="8"/>
        <v>73383.674400000018</v>
      </c>
      <c r="L76" s="19" t="s">
        <v>230</v>
      </c>
      <c r="M76" s="55"/>
      <c r="N76" s="55"/>
    </row>
    <row r="77" spans="1:15" ht="24.75" customHeight="1" x14ac:dyDescent="0.3">
      <c r="A77" s="60" t="s">
        <v>40</v>
      </c>
      <c r="B77" s="61" t="s">
        <v>228</v>
      </c>
      <c r="C77" s="136">
        <v>6243960</v>
      </c>
      <c r="D77" s="20">
        <v>1</v>
      </c>
      <c r="E77" s="18">
        <f t="shared" si="6"/>
        <v>6243960</v>
      </c>
      <c r="F77" s="21">
        <v>8.3500000000000005E-2</v>
      </c>
      <c r="G77" s="18">
        <f t="shared" si="7"/>
        <v>521370.66000000003</v>
      </c>
      <c r="H77" s="22">
        <v>0</v>
      </c>
      <c r="I77" s="135">
        <f t="shared" si="5"/>
        <v>521370.66000000003</v>
      </c>
      <c r="J77" s="62">
        <v>0</v>
      </c>
      <c r="K77" s="62">
        <f t="shared" si="8"/>
        <v>521370.66000000003</v>
      </c>
      <c r="L77" s="19" t="s">
        <v>229</v>
      </c>
      <c r="M77" s="55"/>
      <c r="N77" s="55"/>
    </row>
    <row r="78" spans="1:15" ht="28" x14ac:dyDescent="0.3">
      <c r="A78" s="50" t="s">
        <v>148</v>
      </c>
      <c r="B78" s="51" t="s">
        <v>149</v>
      </c>
      <c r="C78" s="8">
        <v>6243960</v>
      </c>
      <c r="D78" s="6">
        <v>1</v>
      </c>
      <c r="E78" s="15">
        <f t="shared" si="6"/>
        <v>6243960</v>
      </c>
      <c r="F78" s="6">
        <v>0.33400000000000002</v>
      </c>
      <c r="G78" s="15">
        <f t="shared" si="7"/>
        <v>2085482.6400000001</v>
      </c>
      <c r="H78" s="7">
        <v>2085482.6400000001</v>
      </c>
      <c r="I78" s="81">
        <f t="shared" si="5"/>
        <v>0</v>
      </c>
      <c r="J78" s="52">
        <v>0</v>
      </c>
      <c r="K78" s="52">
        <f t="shared" si="8"/>
        <v>0</v>
      </c>
      <c r="L78" s="53" t="s">
        <v>27</v>
      </c>
      <c r="M78" s="55"/>
      <c r="N78" s="55"/>
    </row>
    <row r="79" spans="1:15" ht="14.5" x14ac:dyDescent="0.3">
      <c r="A79" s="50" t="s">
        <v>148</v>
      </c>
      <c r="B79" s="51" t="s">
        <v>150</v>
      </c>
      <c r="C79" s="8">
        <v>6243960</v>
      </c>
      <c r="D79" s="6">
        <v>1</v>
      </c>
      <c r="E79" s="15">
        <f t="shared" si="6"/>
        <v>6243960</v>
      </c>
      <c r="F79" s="6">
        <v>0.33400000000000002</v>
      </c>
      <c r="G79" s="15">
        <f t="shared" si="7"/>
        <v>2085482.6400000001</v>
      </c>
      <c r="H79" s="7">
        <v>2085482.6400000001</v>
      </c>
      <c r="I79" s="81">
        <f t="shared" si="5"/>
        <v>0</v>
      </c>
      <c r="J79" s="52">
        <v>0</v>
      </c>
      <c r="K79" s="52">
        <f t="shared" si="8"/>
        <v>0</v>
      </c>
      <c r="L79" s="53" t="s">
        <v>27</v>
      </c>
      <c r="M79" s="55"/>
      <c r="N79" s="55"/>
    </row>
    <row r="80" spans="1:15" ht="14.5" x14ac:dyDescent="0.3">
      <c r="A80" s="50">
        <v>246.9</v>
      </c>
      <c r="B80" s="51" t="s">
        <v>151</v>
      </c>
      <c r="C80" s="8">
        <f>(6243960*0.02*0.02)</f>
        <v>2497.5839999999998</v>
      </c>
      <c r="D80" s="6">
        <v>1</v>
      </c>
      <c r="E80" s="15">
        <f t="shared" si="6"/>
        <v>2497.5839999999998</v>
      </c>
      <c r="F80" s="6">
        <v>2</v>
      </c>
      <c r="G80" s="15">
        <f t="shared" si="7"/>
        <v>4995.1679999999997</v>
      </c>
      <c r="H80" s="7">
        <v>4995.1679999999997</v>
      </c>
      <c r="I80" s="81">
        <f t="shared" si="5"/>
        <v>0</v>
      </c>
      <c r="J80" s="52">
        <v>0</v>
      </c>
      <c r="K80" s="52">
        <f t="shared" si="8"/>
        <v>0</v>
      </c>
      <c r="L80" s="53" t="s">
        <v>27</v>
      </c>
      <c r="M80" s="55"/>
    </row>
    <row r="81" spans="1:13" ht="28" x14ac:dyDescent="0.3">
      <c r="A81" s="50" t="s">
        <v>59</v>
      </c>
      <c r="B81" s="51" t="s">
        <v>60</v>
      </c>
      <c r="C81" s="8">
        <f>1464744*0.01</f>
        <v>14647.44</v>
      </c>
      <c r="D81" s="6">
        <v>1</v>
      </c>
      <c r="E81" s="15">
        <f t="shared" si="6"/>
        <v>14647.44</v>
      </c>
      <c r="F81" s="6">
        <v>3.3399999999999999E-2</v>
      </c>
      <c r="G81" s="15">
        <f t="shared" si="7"/>
        <v>489.22449599999999</v>
      </c>
      <c r="H81" s="7">
        <v>489.22449599999999</v>
      </c>
      <c r="I81" s="81">
        <v>0</v>
      </c>
      <c r="J81" s="52">
        <f t="shared" ref="J81:J82" si="9">G81-H81</f>
        <v>0</v>
      </c>
      <c r="K81" s="52">
        <f t="shared" si="8"/>
        <v>0</v>
      </c>
      <c r="L81" s="53" t="s">
        <v>27</v>
      </c>
      <c r="M81" s="55"/>
    </row>
    <row r="82" spans="1:13" ht="14.5" x14ac:dyDescent="0.3">
      <c r="A82" s="50" t="s">
        <v>59</v>
      </c>
      <c r="B82" s="51" t="s">
        <v>152</v>
      </c>
      <c r="C82" s="8">
        <f>(3400090*0.01)+(6243960 *0.01)+(1379126*0.01)</f>
        <v>110231.76</v>
      </c>
      <c r="D82" s="6">
        <v>2</v>
      </c>
      <c r="E82" s="15">
        <f t="shared" si="6"/>
        <v>220463.52</v>
      </c>
      <c r="F82" s="6">
        <v>5.0099999999999999E-2</v>
      </c>
      <c r="G82" s="15">
        <f t="shared" si="7"/>
        <v>11045.222351999999</v>
      </c>
      <c r="H82" s="26">
        <v>11045.222351999999</v>
      </c>
      <c r="I82" s="81">
        <v>0</v>
      </c>
      <c r="J82" s="52">
        <f t="shared" si="9"/>
        <v>0</v>
      </c>
      <c r="K82" s="52">
        <f t="shared" si="8"/>
        <v>0</v>
      </c>
      <c r="L82" s="53" t="s">
        <v>27</v>
      </c>
      <c r="M82" s="55"/>
    </row>
    <row r="83" spans="1:13" ht="14.5" x14ac:dyDescent="0.3">
      <c r="A83" s="82" t="s">
        <v>153</v>
      </c>
      <c r="B83" s="74" t="s">
        <v>154</v>
      </c>
      <c r="C83" s="8">
        <v>6243960</v>
      </c>
      <c r="D83" s="6">
        <v>1</v>
      </c>
      <c r="E83" s="15">
        <f t="shared" si="6"/>
        <v>6243960</v>
      </c>
      <c r="F83" s="6">
        <v>0.25</v>
      </c>
      <c r="G83" s="15">
        <f t="shared" si="7"/>
        <v>1560990</v>
      </c>
      <c r="H83" s="26">
        <v>1560990</v>
      </c>
      <c r="I83" s="81">
        <f t="shared" si="5"/>
        <v>0</v>
      </c>
      <c r="J83" s="52">
        <v>0</v>
      </c>
      <c r="K83" s="52">
        <f t="shared" si="8"/>
        <v>0</v>
      </c>
      <c r="L83" s="53" t="s">
        <v>27</v>
      </c>
      <c r="M83" s="55"/>
    </row>
    <row r="84" spans="1:13" ht="42" x14ac:dyDescent="0.3">
      <c r="A84" s="82" t="s">
        <v>155</v>
      </c>
      <c r="B84" s="83" t="s">
        <v>156</v>
      </c>
      <c r="C84" s="8">
        <f>((6243960/89)/2)*17</f>
        <v>596333.25842696626</v>
      </c>
      <c r="D84" s="6">
        <v>3</v>
      </c>
      <c r="E84" s="15">
        <f t="shared" si="6"/>
        <v>1788999.7752808989</v>
      </c>
      <c r="F84" s="6">
        <v>0.5</v>
      </c>
      <c r="G84" s="15">
        <f t="shared" si="7"/>
        <v>894499.88764044945</v>
      </c>
      <c r="H84" s="26">
        <v>894499.88764044945</v>
      </c>
      <c r="I84" s="81">
        <f t="shared" si="5"/>
        <v>0</v>
      </c>
      <c r="J84" s="52">
        <v>0</v>
      </c>
      <c r="K84" s="52">
        <f t="shared" si="8"/>
        <v>0</v>
      </c>
      <c r="L84" s="53" t="s">
        <v>27</v>
      </c>
      <c r="M84" s="55"/>
    </row>
    <row r="85" spans="1:13" ht="42.5" thickBot="1" x14ac:dyDescent="0.35">
      <c r="A85" s="82" t="s">
        <v>155</v>
      </c>
      <c r="B85" s="83" t="s">
        <v>157</v>
      </c>
      <c r="C85" s="8">
        <f>((6243960/89)/2)*72</f>
        <v>2525646.7415730339</v>
      </c>
      <c r="D85" s="6">
        <v>1</v>
      </c>
      <c r="E85" s="15">
        <f t="shared" si="6"/>
        <v>2525646.7415730339</v>
      </c>
      <c r="F85" s="6">
        <v>0.5</v>
      </c>
      <c r="G85" s="15">
        <f t="shared" si="7"/>
        <v>1262823.3707865169</v>
      </c>
      <c r="H85" s="26">
        <v>1262823.3707865169</v>
      </c>
      <c r="I85" s="81">
        <f t="shared" si="5"/>
        <v>0</v>
      </c>
      <c r="J85" s="52">
        <v>0</v>
      </c>
      <c r="K85" s="52">
        <f t="shared" si="8"/>
        <v>0</v>
      </c>
      <c r="L85" s="53" t="s">
        <v>27</v>
      </c>
      <c r="M85" s="55"/>
    </row>
    <row r="86" spans="1:13" ht="14.5" thickBot="1" x14ac:dyDescent="0.35">
      <c r="A86" s="411" t="s">
        <v>158</v>
      </c>
      <c r="B86" s="411"/>
      <c r="C86" s="84">
        <f>C74+C75+C76</f>
        <v>6243960</v>
      </c>
      <c r="D86" s="76">
        <f>E86/C86</f>
        <v>5.7290653785184302</v>
      </c>
      <c r="E86" s="75">
        <f>SUM(E74:E85)</f>
        <v>35772055.060853936</v>
      </c>
      <c r="F86" s="76">
        <f>G86/E86</f>
        <v>0.31719884390125669</v>
      </c>
      <c r="G86" s="75">
        <f>SUM(G74:G85)</f>
        <v>11346854.509274967</v>
      </c>
      <c r="H86" s="75">
        <f>SUM(H74:H85)</f>
        <v>10512661.453274965</v>
      </c>
      <c r="I86" s="76">
        <f>SUM(I74:I85)</f>
        <v>834193.05600000022</v>
      </c>
      <c r="J86" s="76">
        <f>SUM(J74:J85)</f>
        <v>0</v>
      </c>
      <c r="K86" s="85">
        <f>G86-H86</f>
        <v>834193.05600000173</v>
      </c>
      <c r="L86" s="80"/>
    </row>
    <row r="87" spans="1:13" ht="14.5" thickBot="1" x14ac:dyDescent="0.35">
      <c r="A87" s="408" t="s">
        <v>159</v>
      </c>
      <c r="B87" s="409"/>
      <c r="C87" s="409"/>
      <c r="D87" s="409"/>
      <c r="E87" s="409"/>
      <c r="F87" s="409"/>
      <c r="G87" s="409"/>
      <c r="H87" s="409"/>
      <c r="I87" s="409"/>
      <c r="J87" s="409"/>
      <c r="K87" s="409"/>
      <c r="L87" s="410"/>
    </row>
    <row r="88" spans="1:13" ht="14.5" x14ac:dyDescent="0.3">
      <c r="A88" s="73" t="s">
        <v>29</v>
      </c>
      <c r="B88" s="86" t="s">
        <v>236</v>
      </c>
      <c r="C88" s="93">
        <f>543*0.5</f>
        <v>271.5</v>
      </c>
      <c r="D88" s="145">
        <v>1</v>
      </c>
      <c r="E88" s="88">
        <f>C88*D88</f>
        <v>271.5</v>
      </c>
      <c r="F88" s="89">
        <v>2</v>
      </c>
      <c r="G88" s="90">
        <f>E88*F88</f>
        <v>543</v>
      </c>
      <c r="H88" s="149">
        <v>543</v>
      </c>
      <c r="I88" s="87">
        <f>G88-H88</f>
        <v>0</v>
      </c>
      <c r="J88" s="91">
        <v>0</v>
      </c>
      <c r="K88" s="87">
        <f>G88-H88</f>
        <v>0</v>
      </c>
      <c r="L88" s="53" t="s">
        <v>27</v>
      </c>
    </row>
    <row r="89" spans="1:13" ht="14.5" x14ac:dyDescent="0.3">
      <c r="A89" s="73">
        <v>246.6</v>
      </c>
      <c r="B89" s="86" t="s">
        <v>161</v>
      </c>
      <c r="C89" s="93">
        <f>1810*0.5*0.3</f>
        <v>271.5</v>
      </c>
      <c r="D89" s="145">
        <v>1</v>
      </c>
      <c r="E89" s="88">
        <f>C89*D89</f>
        <v>271.5</v>
      </c>
      <c r="F89" s="89">
        <v>1.5</v>
      </c>
      <c r="G89" s="90">
        <f>E89*F89</f>
        <v>407.25</v>
      </c>
      <c r="H89" s="149">
        <v>407.25</v>
      </c>
      <c r="I89" s="91">
        <f>G89-H89</f>
        <v>0</v>
      </c>
      <c r="J89" s="91">
        <v>0</v>
      </c>
      <c r="K89" s="91">
        <f t="shared" ref="K89:K112" si="10">G89-H89</f>
        <v>0</v>
      </c>
      <c r="L89" s="53" t="s">
        <v>27</v>
      </c>
    </row>
    <row r="90" spans="1:13" ht="14.5" x14ac:dyDescent="0.3">
      <c r="A90" s="50" t="s">
        <v>38</v>
      </c>
      <c r="B90" s="65" t="s">
        <v>39</v>
      </c>
      <c r="C90" s="93">
        <f>(1810*0.3)/6</f>
        <v>90.5</v>
      </c>
      <c r="D90" s="145">
        <v>1</v>
      </c>
      <c r="E90" s="88">
        <f>C90*D90</f>
        <v>90.5</v>
      </c>
      <c r="F90" s="89">
        <v>0.25</v>
      </c>
      <c r="G90" s="92">
        <f>E90*F90</f>
        <v>22.625</v>
      </c>
      <c r="H90" s="149">
        <v>22.625</v>
      </c>
      <c r="I90" s="91">
        <f>G90-H90</f>
        <v>0</v>
      </c>
      <c r="J90" s="91">
        <v>0</v>
      </c>
      <c r="K90" s="91">
        <f t="shared" si="10"/>
        <v>0</v>
      </c>
      <c r="L90" s="53" t="s">
        <v>27</v>
      </c>
    </row>
    <row r="91" spans="1:13" ht="32.25" customHeight="1" x14ac:dyDescent="0.3">
      <c r="A91" s="60" t="s">
        <v>40</v>
      </c>
      <c r="B91" s="61" t="s">
        <v>43</v>
      </c>
      <c r="C91" s="139">
        <f>1810*0.3</f>
        <v>543</v>
      </c>
      <c r="D91" s="146">
        <f>(0.3*1379126)/543</f>
        <v>761.9480662983425</v>
      </c>
      <c r="E91" s="140">
        <f t="shared" ref="E91:E112" si="11">C91*D91</f>
        <v>413737.8</v>
      </c>
      <c r="F91" s="21">
        <v>0.46760000000000002</v>
      </c>
      <c r="G91" s="141">
        <f t="shared" ref="G91:G112" si="12">E91*F91</f>
        <v>193463.79527999999</v>
      </c>
      <c r="H91" s="150">
        <v>172735.53149999998</v>
      </c>
      <c r="I91" s="142">
        <f>G91-H91</f>
        <v>20728.263780000008</v>
      </c>
      <c r="J91" s="142">
        <v>0</v>
      </c>
      <c r="K91" s="142">
        <f t="shared" si="10"/>
        <v>20728.263780000008</v>
      </c>
      <c r="L91" s="19" t="s">
        <v>230</v>
      </c>
      <c r="M91" s="55"/>
    </row>
    <row r="92" spans="1:13" ht="32.25" customHeight="1" x14ac:dyDescent="0.3">
      <c r="A92" s="60" t="s">
        <v>40</v>
      </c>
      <c r="B92" s="61" t="s">
        <v>147</v>
      </c>
      <c r="C92" s="139">
        <f>1810*0.3</f>
        <v>543</v>
      </c>
      <c r="D92" s="146">
        <f>(0.3*3400090)/543</f>
        <v>1878.5027624309391</v>
      </c>
      <c r="E92" s="140">
        <f t="shared" si="11"/>
        <v>1020027</v>
      </c>
      <c r="F92" s="21">
        <v>0.46760000000000002</v>
      </c>
      <c r="G92" s="141">
        <f t="shared" si="12"/>
        <v>476964.62520000001</v>
      </c>
      <c r="H92" s="150">
        <v>425861.27249999996</v>
      </c>
      <c r="I92" s="142">
        <f t="shared" ref="I92:I112" si="13">G92-H92</f>
        <v>51103.352700000047</v>
      </c>
      <c r="J92" s="142">
        <v>0</v>
      </c>
      <c r="K92" s="142">
        <f t="shared" si="10"/>
        <v>51103.352700000047</v>
      </c>
      <c r="L92" s="19" t="s">
        <v>230</v>
      </c>
      <c r="M92" s="55"/>
    </row>
    <row r="93" spans="1:13" ht="32.25" customHeight="1" x14ac:dyDescent="0.3">
      <c r="A93" s="60" t="s">
        <v>40</v>
      </c>
      <c r="B93" s="61" t="s">
        <v>45</v>
      </c>
      <c r="C93" s="139">
        <f>1810*0.3</f>
        <v>543</v>
      </c>
      <c r="D93" s="146">
        <f>(1*0.3*1464744)/543</f>
        <v>809.25082872928181</v>
      </c>
      <c r="E93" s="140">
        <f t="shared" si="11"/>
        <v>439423.2</v>
      </c>
      <c r="F93" s="21">
        <v>0.46760000000000002</v>
      </c>
      <c r="G93" s="141">
        <f t="shared" si="12"/>
        <v>205474.28832000002</v>
      </c>
      <c r="H93" s="150">
        <v>183459.18599999999</v>
      </c>
      <c r="I93" s="142">
        <f t="shared" si="13"/>
        <v>22015.102320000035</v>
      </c>
      <c r="J93" s="142">
        <v>0</v>
      </c>
      <c r="K93" s="142">
        <f t="shared" si="10"/>
        <v>22015.102320000035</v>
      </c>
      <c r="L93" s="19" t="s">
        <v>230</v>
      </c>
      <c r="M93" s="55"/>
    </row>
    <row r="94" spans="1:13" ht="25" x14ac:dyDescent="0.3">
      <c r="A94" s="60" t="s">
        <v>40</v>
      </c>
      <c r="B94" s="61" t="s">
        <v>228</v>
      </c>
      <c r="C94" s="139">
        <f>1810*0.3</f>
        <v>543</v>
      </c>
      <c r="D94" s="146">
        <f>(0.3*6243960)/543</f>
        <v>3449.7016574585637</v>
      </c>
      <c r="E94" s="140">
        <f t="shared" si="11"/>
        <v>1873188</v>
      </c>
      <c r="F94" s="21">
        <v>8.3500000000000005E-2</v>
      </c>
      <c r="G94" s="141">
        <f t="shared" si="12"/>
        <v>156411.198</v>
      </c>
      <c r="H94" s="150">
        <v>0</v>
      </c>
      <c r="I94" s="142">
        <f t="shared" si="13"/>
        <v>156411.198</v>
      </c>
      <c r="J94" s="142">
        <v>0</v>
      </c>
      <c r="K94" s="142">
        <f t="shared" si="10"/>
        <v>156411.198</v>
      </c>
      <c r="L94" s="19" t="s">
        <v>229</v>
      </c>
      <c r="M94" s="55"/>
    </row>
    <row r="95" spans="1:13" ht="14.5" x14ac:dyDescent="0.3">
      <c r="A95" s="50" t="s">
        <v>48</v>
      </c>
      <c r="B95" s="65" t="s">
        <v>49</v>
      </c>
      <c r="C95" s="147">
        <f>0.3*1810</f>
        <v>543</v>
      </c>
      <c r="D95" s="143">
        <f>(0.03*6243960/543)*0.3</f>
        <v>103.49104972375689</v>
      </c>
      <c r="E95" s="15">
        <f t="shared" si="11"/>
        <v>56195.639999999992</v>
      </c>
      <c r="F95" s="5">
        <v>8.3500000000000005E-2</v>
      </c>
      <c r="G95" s="94">
        <f t="shared" si="12"/>
        <v>4692.3359399999999</v>
      </c>
      <c r="H95" s="148">
        <v>4692.3359399999999</v>
      </c>
      <c r="I95" s="52">
        <f>G95-H95</f>
        <v>0</v>
      </c>
      <c r="J95" s="52">
        <v>0</v>
      </c>
      <c r="K95" s="52">
        <f t="shared" si="10"/>
        <v>0</v>
      </c>
      <c r="L95" s="53" t="s">
        <v>27</v>
      </c>
    </row>
    <row r="96" spans="1:13" ht="25" x14ac:dyDescent="0.3">
      <c r="A96" s="60" t="s">
        <v>232</v>
      </c>
      <c r="B96" s="61" t="s">
        <v>233</v>
      </c>
      <c r="C96" s="139">
        <f>1810*0.3</f>
        <v>543</v>
      </c>
      <c r="D96" s="144">
        <v>1</v>
      </c>
      <c r="E96" s="140">
        <f t="shared" si="11"/>
        <v>543</v>
      </c>
      <c r="F96" s="21">
        <v>1</v>
      </c>
      <c r="G96" s="141">
        <f t="shared" si="12"/>
        <v>543</v>
      </c>
      <c r="H96" s="150">
        <v>0</v>
      </c>
      <c r="I96" s="142">
        <f t="shared" si="13"/>
        <v>543</v>
      </c>
      <c r="J96" s="142">
        <v>0</v>
      </c>
      <c r="K96" s="142">
        <f t="shared" si="10"/>
        <v>543</v>
      </c>
      <c r="L96" s="30" t="s">
        <v>237</v>
      </c>
    </row>
    <row r="97" spans="1:15" ht="28" x14ac:dyDescent="0.3">
      <c r="A97" s="50" t="s">
        <v>59</v>
      </c>
      <c r="B97" s="65" t="s">
        <v>60</v>
      </c>
      <c r="C97" s="147">
        <f>0.3*1810</f>
        <v>543</v>
      </c>
      <c r="D97" s="143">
        <f>(1464744*0.3*0.01)/543</f>
        <v>8.0925082872928176</v>
      </c>
      <c r="E97" s="15">
        <f t="shared" si="11"/>
        <v>4394.232</v>
      </c>
      <c r="F97" s="5">
        <v>3.3399999999999999E-2</v>
      </c>
      <c r="G97" s="92">
        <f t="shared" si="12"/>
        <v>146.76734880000001</v>
      </c>
      <c r="H97" s="148">
        <v>146.76734880000001</v>
      </c>
      <c r="I97" s="52">
        <f>G97-H97</f>
        <v>0</v>
      </c>
      <c r="J97" s="52">
        <v>0</v>
      </c>
      <c r="K97" s="52">
        <f t="shared" si="10"/>
        <v>0</v>
      </c>
      <c r="L97" s="53" t="s">
        <v>27</v>
      </c>
    </row>
    <row r="98" spans="1:15" ht="28" x14ac:dyDescent="0.3">
      <c r="A98" s="50" t="s">
        <v>63</v>
      </c>
      <c r="B98" s="65" t="s">
        <v>64</v>
      </c>
      <c r="C98" s="147">
        <f>0.3*1810</f>
        <v>543</v>
      </c>
      <c r="D98" s="143">
        <f>(6243960*0.3)/543</f>
        <v>3449.7016574585637</v>
      </c>
      <c r="E98" s="15">
        <f t="shared" si="11"/>
        <v>1873188</v>
      </c>
      <c r="F98" s="5">
        <v>0.25</v>
      </c>
      <c r="G98" s="94">
        <f t="shared" si="12"/>
        <v>468297</v>
      </c>
      <c r="H98" s="148">
        <v>468297</v>
      </c>
      <c r="I98" s="52">
        <f t="shared" ref="I98" si="14">G98-H98</f>
        <v>0</v>
      </c>
      <c r="J98" s="52">
        <v>0</v>
      </c>
      <c r="K98" s="91">
        <f t="shared" si="10"/>
        <v>0</v>
      </c>
      <c r="L98" s="53" t="s">
        <v>27</v>
      </c>
    </row>
    <row r="99" spans="1:15" ht="14.5" x14ac:dyDescent="0.3">
      <c r="A99" s="50" t="s">
        <v>65</v>
      </c>
      <c r="B99" s="65" t="s">
        <v>66</v>
      </c>
      <c r="C99" s="147">
        <f>0.3*1810</f>
        <v>543</v>
      </c>
      <c r="D99" s="143">
        <v>1</v>
      </c>
      <c r="E99" s="15">
        <f t="shared" si="11"/>
        <v>543</v>
      </c>
      <c r="F99" s="5">
        <v>40</v>
      </c>
      <c r="G99" s="15">
        <f t="shared" si="12"/>
        <v>21720</v>
      </c>
      <c r="H99" s="7">
        <v>21720</v>
      </c>
      <c r="I99" s="52">
        <f>G99-H99</f>
        <v>0</v>
      </c>
      <c r="J99" s="52">
        <v>0</v>
      </c>
      <c r="K99" s="91">
        <f t="shared" si="10"/>
        <v>0</v>
      </c>
      <c r="L99" s="53" t="s">
        <v>27</v>
      </c>
    </row>
    <row r="100" spans="1:15" ht="14.5" x14ac:dyDescent="0.3">
      <c r="A100" s="50" t="s">
        <v>71</v>
      </c>
      <c r="B100" s="51" t="s">
        <v>162</v>
      </c>
      <c r="C100" s="147">
        <v>840</v>
      </c>
      <c r="D100" s="143">
        <v>1</v>
      </c>
      <c r="E100" s="15">
        <f t="shared" si="11"/>
        <v>840</v>
      </c>
      <c r="F100" s="5">
        <v>2</v>
      </c>
      <c r="G100" s="15">
        <f t="shared" si="12"/>
        <v>1680</v>
      </c>
      <c r="H100" s="7">
        <v>1680</v>
      </c>
      <c r="I100" s="52">
        <v>0</v>
      </c>
      <c r="J100" s="91">
        <f t="shared" ref="J100:J105" si="15">G100-H100</f>
        <v>0</v>
      </c>
      <c r="K100" s="91">
        <f t="shared" si="10"/>
        <v>0</v>
      </c>
      <c r="L100" s="53" t="s">
        <v>27</v>
      </c>
    </row>
    <row r="101" spans="1:15" ht="25" x14ac:dyDescent="0.3">
      <c r="A101" s="60" t="s">
        <v>73</v>
      </c>
      <c r="B101" s="61" t="s">
        <v>74</v>
      </c>
      <c r="C101" s="20">
        <f>(79/89)*(37417-150)</f>
        <v>33079.696629213482</v>
      </c>
      <c r="D101" s="144">
        <v>2</v>
      </c>
      <c r="E101" s="18">
        <f t="shared" si="11"/>
        <v>66159.393258426964</v>
      </c>
      <c r="F101" s="21">
        <v>2</v>
      </c>
      <c r="G101" s="18">
        <f t="shared" si="12"/>
        <v>132318.78651685393</v>
      </c>
      <c r="H101" s="22">
        <v>132851.37078651684</v>
      </c>
      <c r="I101" s="62">
        <f>G101-H101</f>
        <v>-532.58426966291154</v>
      </c>
      <c r="J101" s="142">
        <v>0</v>
      </c>
      <c r="K101" s="142">
        <f t="shared" si="10"/>
        <v>-532.58426966291154</v>
      </c>
      <c r="L101" s="19" t="s">
        <v>235</v>
      </c>
      <c r="M101" s="55"/>
    </row>
    <row r="102" spans="1:15" ht="14.5" x14ac:dyDescent="0.3">
      <c r="A102" s="50" t="s">
        <v>78</v>
      </c>
      <c r="B102" s="51" t="s">
        <v>79</v>
      </c>
      <c r="C102" s="6">
        <f>89*17</f>
        <v>1513</v>
      </c>
      <c r="D102" s="143">
        <v>1</v>
      </c>
      <c r="E102" s="15">
        <f t="shared" si="11"/>
        <v>1513</v>
      </c>
      <c r="F102" s="5">
        <v>0.66800000000000004</v>
      </c>
      <c r="G102" s="15">
        <f t="shared" si="12"/>
        <v>1010.6840000000001</v>
      </c>
      <c r="H102" s="7">
        <v>1010.6840000000001</v>
      </c>
      <c r="I102" s="52">
        <f t="shared" si="13"/>
        <v>0</v>
      </c>
      <c r="J102" s="91">
        <v>0</v>
      </c>
      <c r="K102" s="91">
        <f t="shared" si="10"/>
        <v>0</v>
      </c>
      <c r="L102" s="53" t="s">
        <v>27</v>
      </c>
    </row>
    <row r="103" spans="1:15" ht="25" x14ac:dyDescent="0.3">
      <c r="A103" s="60" t="s">
        <v>82</v>
      </c>
      <c r="B103" s="61" t="s">
        <v>186</v>
      </c>
      <c r="C103" s="20">
        <f>0.33*(37417-150)</f>
        <v>12298.11</v>
      </c>
      <c r="D103" s="20">
        <v>1</v>
      </c>
      <c r="E103" s="18">
        <f t="shared" si="11"/>
        <v>12298.11</v>
      </c>
      <c r="F103" s="21">
        <v>1</v>
      </c>
      <c r="G103" s="18">
        <f t="shared" si="12"/>
        <v>12298.11</v>
      </c>
      <c r="H103" s="22">
        <v>12347.61</v>
      </c>
      <c r="I103" s="62">
        <f t="shared" si="13"/>
        <v>-49.5</v>
      </c>
      <c r="J103" s="142">
        <v>0</v>
      </c>
      <c r="K103" s="142">
        <f t="shared" si="10"/>
        <v>-49.5</v>
      </c>
      <c r="L103" s="19" t="s">
        <v>235</v>
      </c>
      <c r="M103" s="55"/>
    </row>
    <row r="104" spans="1:15" ht="25" x14ac:dyDescent="0.3">
      <c r="A104" s="113" t="s">
        <v>164</v>
      </c>
      <c r="B104" s="61" t="s">
        <v>165</v>
      </c>
      <c r="C104" s="20">
        <f>37417-150</f>
        <v>37267</v>
      </c>
      <c r="D104" s="20">
        <v>1</v>
      </c>
      <c r="E104" s="18">
        <f t="shared" si="11"/>
        <v>37267</v>
      </c>
      <c r="F104" s="21">
        <v>1</v>
      </c>
      <c r="G104" s="18">
        <f t="shared" si="12"/>
        <v>37267</v>
      </c>
      <c r="H104" s="22">
        <v>37417</v>
      </c>
      <c r="I104" s="62">
        <f>G104-H104</f>
        <v>-150</v>
      </c>
      <c r="J104" s="142">
        <v>0</v>
      </c>
      <c r="K104" s="142">
        <f t="shared" si="10"/>
        <v>-150</v>
      </c>
      <c r="L104" s="19" t="s">
        <v>235</v>
      </c>
    </row>
    <row r="105" spans="1:15" ht="14.5" x14ac:dyDescent="0.3">
      <c r="A105" s="95" t="s">
        <v>166</v>
      </c>
      <c r="B105" s="51" t="s">
        <v>167</v>
      </c>
      <c r="C105" s="6">
        <f>(4/10)*850</f>
        <v>340</v>
      </c>
      <c r="D105" s="6">
        <v>1</v>
      </c>
      <c r="E105" s="15">
        <f t="shared" si="11"/>
        <v>340</v>
      </c>
      <c r="F105" s="5">
        <v>1</v>
      </c>
      <c r="G105" s="15">
        <f t="shared" si="12"/>
        <v>340</v>
      </c>
      <c r="H105" s="7">
        <v>340</v>
      </c>
      <c r="I105" s="52">
        <v>0</v>
      </c>
      <c r="J105" s="91">
        <f t="shared" si="15"/>
        <v>0</v>
      </c>
      <c r="K105" s="87">
        <f t="shared" si="10"/>
        <v>0</v>
      </c>
      <c r="L105" s="53" t="s">
        <v>27</v>
      </c>
    </row>
    <row r="106" spans="1:15" ht="25" x14ac:dyDescent="0.3">
      <c r="A106" s="378" t="s">
        <v>168</v>
      </c>
      <c r="B106" s="271" t="s">
        <v>169</v>
      </c>
      <c r="C106" s="20">
        <f>37417-150</f>
        <v>37267</v>
      </c>
      <c r="D106" s="20">
        <v>1</v>
      </c>
      <c r="E106" s="18">
        <f>C106*D106</f>
        <v>37267</v>
      </c>
      <c r="F106" s="21">
        <v>2</v>
      </c>
      <c r="G106" s="18">
        <f t="shared" si="12"/>
        <v>74534</v>
      </c>
      <c r="H106" s="22">
        <v>74834</v>
      </c>
      <c r="I106" s="62">
        <f>G106-H106</f>
        <v>-300</v>
      </c>
      <c r="J106" s="142">
        <v>0</v>
      </c>
      <c r="K106" s="142">
        <f t="shared" si="10"/>
        <v>-300</v>
      </c>
      <c r="L106" s="19" t="s">
        <v>235</v>
      </c>
      <c r="O106" s="55"/>
    </row>
    <row r="107" spans="1:15" ht="28" x14ac:dyDescent="0.3">
      <c r="A107" s="82" t="s">
        <v>105</v>
      </c>
      <c r="B107" s="96" t="s">
        <v>170</v>
      </c>
      <c r="C107" s="6">
        <f>3289*0.33</f>
        <v>1085.3700000000001</v>
      </c>
      <c r="D107" s="6">
        <v>1</v>
      </c>
      <c r="E107" s="15">
        <f t="shared" si="11"/>
        <v>1085.3700000000001</v>
      </c>
      <c r="F107" s="5">
        <v>1</v>
      </c>
      <c r="G107" s="15">
        <f t="shared" si="12"/>
        <v>1085.3700000000001</v>
      </c>
      <c r="H107" s="7">
        <v>1085.3700000000001</v>
      </c>
      <c r="I107" s="52">
        <f t="shared" si="13"/>
        <v>0</v>
      </c>
      <c r="J107" s="91">
        <v>0</v>
      </c>
      <c r="K107" s="91">
        <f t="shared" si="10"/>
        <v>0</v>
      </c>
      <c r="L107" s="53" t="s">
        <v>27</v>
      </c>
    </row>
    <row r="108" spans="1:15" ht="14.5" x14ac:dyDescent="0.3">
      <c r="A108" s="82" t="s">
        <v>171</v>
      </c>
      <c r="B108" s="96" t="s">
        <v>172</v>
      </c>
      <c r="C108" s="6">
        <v>3289</v>
      </c>
      <c r="D108" s="6">
        <v>1</v>
      </c>
      <c r="E108" s="15">
        <f t="shared" si="11"/>
        <v>3289</v>
      </c>
      <c r="F108" s="5">
        <v>2</v>
      </c>
      <c r="G108" s="15">
        <f t="shared" si="12"/>
        <v>6578</v>
      </c>
      <c r="H108" s="7">
        <v>6578</v>
      </c>
      <c r="I108" s="52">
        <f t="shared" si="13"/>
        <v>0</v>
      </c>
      <c r="J108" s="91">
        <v>0</v>
      </c>
      <c r="K108" s="91">
        <f t="shared" si="10"/>
        <v>0</v>
      </c>
      <c r="L108" s="53" t="s">
        <v>27</v>
      </c>
    </row>
    <row r="109" spans="1:15" ht="28" x14ac:dyDescent="0.3">
      <c r="A109" s="82" t="s">
        <v>119</v>
      </c>
      <c r="B109" s="96" t="s">
        <v>173</v>
      </c>
      <c r="C109" s="6">
        <v>3</v>
      </c>
      <c r="D109" s="6">
        <v>12</v>
      </c>
      <c r="E109" s="15">
        <f t="shared" si="11"/>
        <v>36</v>
      </c>
      <c r="F109" s="5">
        <v>4</v>
      </c>
      <c r="G109" s="15">
        <f t="shared" si="12"/>
        <v>144</v>
      </c>
      <c r="H109" s="7">
        <v>144</v>
      </c>
      <c r="I109" s="52">
        <f t="shared" si="13"/>
        <v>0</v>
      </c>
      <c r="J109" s="91">
        <v>0</v>
      </c>
      <c r="K109" s="91">
        <f t="shared" si="10"/>
        <v>0</v>
      </c>
      <c r="L109" s="53" t="s">
        <v>27</v>
      </c>
    </row>
    <row r="110" spans="1:15" ht="14.5" x14ac:dyDescent="0.3">
      <c r="A110" s="82" t="s">
        <v>243</v>
      </c>
      <c r="B110" s="96" t="s">
        <v>249</v>
      </c>
      <c r="C110" s="6">
        <v>1</v>
      </c>
      <c r="D110" s="6">
        <v>1</v>
      </c>
      <c r="E110" s="15">
        <f t="shared" si="11"/>
        <v>1</v>
      </c>
      <c r="F110" s="5">
        <v>4</v>
      </c>
      <c r="G110" s="15">
        <f t="shared" si="12"/>
        <v>4</v>
      </c>
      <c r="H110" s="7">
        <v>4</v>
      </c>
      <c r="I110" s="52">
        <f t="shared" si="13"/>
        <v>0</v>
      </c>
      <c r="J110" s="91">
        <v>0</v>
      </c>
      <c r="K110" s="91">
        <f t="shared" si="10"/>
        <v>0</v>
      </c>
      <c r="L110" s="53" t="s">
        <v>27</v>
      </c>
    </row>
    <row r="111" spans="1:15" ht="14.5" x14ac:dyDescent="0.3">
      <c r="A111" s="82" t="s">
        <v>174</v>
      </c>
      <c r="B111" s="96" t="s">
        <v>175</v>
      </c>
      <c r="C111" s="6">
        <f>(1048*0.02)</f>
        <v>20.96</v>
      </c>
      <c r="D111" s="6">
        <v>1</v>
      </c>
      <c r="E111" s="88">
        <f t="shared" si="11"/>
        <v>20.96</v>
      </c>
      <c r="F111" s="5">
        <v>2</v>
      </c>
      <c r="G111" s="90">
        <f t="shared" si="12"/>
        <v>41.92</v>
      </c>
      <c r="H111" s="7">
        <v>41.92</v>
      </c>
      <c r="I111" s="52">
        <f t="shared" si="13"/>
        <v>0</v>
      </c>
      <c r="J111" s="91">
        <v>0</v>
      </c>
      <c r="K111" s="91">
        <f t="shared" si="10"/>
        <v>0</v>
      </c>
      <c r="L111" s="53" t="s">
        <v>27</v>
      </c>
    </row>
    <row r="112" spans="1:15" ht="15" thickBot="1" x14ac:dyDescent="0.35">
      <c r="A112" s="82" t="s">
        <v>176</v>
      </c>
      <c r="B112" s="96" t="s">
        <v>256</v>
      </c>
      <c r="C112" s="6">
        <f>3289*0.02*0.02</f>
        <v>1.3156000000000001</v>
      </c>
      <c r="D112" s="6">
        <v>1</v>
      </c>
      <c r="E112" s="267">
        <f t="shared" si="11"/>
        <v>1.3156000000000001</v>
      </c>
      <c r="F112" s="5">
        <v>2</v>
      </c>
      <c r="G112" s="266">
        <f t="shared" si="12"/>
        <v>2.6312000000000002</v>
      </c>
      <c r="H112" s="7">
        <v>2.6312000000000002</v>
      </c>
      <c r="I112" s="93">
        <f t="shared" si="13"/>
        <v>0</v>
      </c>
      <c r="J112" s="91">
        <v>0</v>
      </c>
      <c r="K112" s="93">
        <f t="shared" si="10"/>
        <v>0</v>
      </c>
      <c r="L112" s="53" t="s">
        <v>27</v>
      </c>
    </row>
    <row r="113" spans="1:15" ht="14.5" thickBot="1" x14ac:dyDescent="0.35">
      <c r="A113" s="397" t="s">
        <v>178</v>
      </c>
      <c r="B113" s="397"/>
      <c r="C113" s="482">
        <f>(37417-150)+543</f>
        <v>37810</v>
      </c>
      <c r="D113" s="98">
        <f>+E113/C113</f>
        <v>154.50916479392825</v>
      </c>
      <c r="E113" s="484">
        <f>SUM(E88:E112)</f>
        <v>5841991.5208584275</v>
      </c>
      <c r="F113" s="100">
        <f>+G113/E113</f>
        <v>0.30742776335658722</v>
      </c>
      <c r="G113" s="482">
        <f>SUM(G88:G112)</f>
        <v>1795990.3868056538</v>
      </c>
      <c r="H113" s="101">
        <f>SUM(H88:H112)</f>
        <v>1546221.5542753169</v>
      </c>
      <c r="I113" s="100">
        <f>SUM(I88:I112)</f>
        <v>249768.83253033718</v>
      </c>
      <c r="J113" s="102">
        <f>SUM(J88:J112)</f>
        <v>0</v>
      </c>
      <c r="K113" s="99">
        <f>G113-H113</f>
        <v>249768.83253033692</v>
      </c>
      <c r="L113" s="80"/>
    </row>
    <row r="114" spans="1:15" ht="14.5" thickBot="1" x14ac:dyDescent="0.35">
      <c r="A114" s="397" t="s">
        <v>179</v>
      </c>
      <c r="B114" s="397"/>
      <c r="C114" s="103">
        <f>SUM(C72,C86,C113)</f>
        <v>6283126</v>
      </c>
      <c r="D114" s="104">
        <f>E114/C114</f>
        <v>8.7978894316213481</v>
      </c>
      <c r="E114" s="103">
        <f>SUM(E72,E86,E113)</f>
        <v>55278247.832945317</v>
      </c>
      <c r="F114" s="13">
        <f>+G114/E114</f>
        <v>0.30893323523958965</v>
      </c>
      <c r="G114" s="103">
        <f>SUM(G72+G86+G113)</f>
        <v>17077287.941407632</v>
      </c>
      <c r="H114" s="105">
        <f>SUM(H113+H86+H72)</f>
        <v>15408105.489677295</v>
      </c>
      <c r="I114" s="3">
        <f>SUM(I72,I86,I113)</f>
        <v>1669182.4517303377</v>
      </c>
      <c r="J114" s="102">
        <f>J113+J86+J72</f>
        <v>0</v>
      </c>
      <c r="K114" s="106">
        <f>K113+K86+K72</f>
        <v>1669182.4517303384</v>
      </c>
      <c r="L114" s="107"/>
    </row>
    <row r="115" spans="1:15" x14ac:dyDescent="0.3">
      <c r="A115" s="399" t="s">
        <v>180</v>
      </c>
      <c r="B115" s="399"/>
      <c r="C115" s="399"/>
      <c r="D115" s="399"/>
      <c r="E115" s="399"/>
      <c r="F115" s="399"/>
      <c r="G115" s="399"/>
      <c r="H115" s="399"/>
      <c r="I115" s="399"/>
      <c r="J115" s="399"/>
      <c r="K115" s="399"/>
      <c r="L115" s="412"/>
    </row>
    <row r="116" spans="1:15" x14ac:dyDescent="0.3">
      <c r="A116" s="413" t="s">
        <v>23</v>
      </c>
      <c r="B116" s="413"/>
      <c r="C116" s="413"/>
      <c r="D116" s="413"/>
      <c r="E116" s="413"/>
      <c r="F116" s="413"/>
      <c r="G116" s="413"/>
      <c r="H116" s="413"/>
      <c r="I116" s="413"/>
      <c r="J116" s="413"/>
      <c r="K116" s="413"/>
      <c r="L116" s="414"/>
    </row>
    <row r="117" spans="1:15" ht="14.5" x14ac:dyDescent="0.3">
      <c r="A117" s="82" t="s">
        <v>181</v>
      </c>
      <c r="B117" s="74" t="s">
        <v>182</v>
      </c>
      <c r="C117" s="6">
        <v>89</v>
      </c>
      <c r="D117" s="6">
        <v>1</v>
      </c>
      <c r="E117" s="110">
        <f>C117*D117</f>
        <v>89</v>
      </c>
      <c r="F117" s="114">
        <v>0.16700000000000001</v>
      </c>
      <c r="G117" s="268">
        <f>E117*F117</f>
        <v>14.863000000000001</v>
      </c>
      <c r="H117" s="109">
        <v>14.863000000000001</v>
      </c>
      <c r="I117" s="112">
        <f>G117-H117</f>
        <v>0</v>
      </c>
      <c r="J117" s="112">
        <v>0</v>
      </c>
      <c r="K117" s="112">
        <f>G117-H117</f>
        <v>0</v>
      </c>
      <c r="L117" s="53" t="s">
        <v>27</v>
      </c>
      <c r="M117" s="55"/>
    </row>
    <row r="118" spans="1:15" ht="28" x14ac:dyDescent="0.3">
      <c r="A118" s="115" t="s">
        <v>247</v>
      </c>
      <c r="B118" s="51" t="s">
        <v>248</v>
      </c>
      <c r="C118" s="6">
        <v>15</v>
      </c>
      <c r="D118" s="6">
        <v>1</v>
      </c>
      <c r="E118" s="110">
        <f>C118*D118</f>
        <v>15</v>
      </c>
      <c r="F118" s="114">
        <v>2</v>
      </c>
      <c r="G118" s="268">
        <f>E118*F118</f>
        <v>30</v>
      </c>
      <c r="H118" s="109">
        <v>30</v>
      </c>
      <c r="I118" s="112">
        <f>G118-H118</f>
        <v>0</v>
      </c>
      <c r="J118" s="112">
        <v>0</v>
      </c>
      <c r="K118" s="112">
        <f>G118-H118</f>
        <v>0</v>
      </c>
      <c r="L118" s="53" t="s">
        <v>27</v>
      </c>
      <c r="M118" s="55"/>
    </row>
    <row r="119" spans="1:15" ht="14.5" x14ac:dyDescent="0.3">
      <c r="A119" s="95" t="s">
        <v>59</v>
      </c>
      <c r="B119" s="51" t="s">
        <v>152</v>
      </c>
      <c r="C119" s="6">
        <f>1810*0.7</f>
        <v>1267</v>
      </c>
      <c r="D119" s="6">
        <f>(10000/1267)*2*0.7</f>
        <v>11.049723756906078</v>
      </c>
      <c r="E119" s="110">
        <f t="shared" ref="E119:E134" si="16">C119*D119</f>
        <v>14000</v>
      </c>
      <c r="F119" s="111">
        <v>1.67E-2</v>
      </c>
      <c r="G119" s="110">
        <f t="shared" ref="G119:G134" si="17">E119*F119</f>
        <v>233.79999999999998</v>
      </c>
      <c r="H119" s="7">
        <v>233.79999999999998</v>
      </c>
      <c r="I119" s="112">
        <f>G119-H119</f>
        <v>0</v>
      </c>
      <c r="J119" s="112">
        <v>0</v>
      </c>
      <c r="K119" s="112">
        <f t="shared" ref="K119:K134" si="18">G119-H119</f>
        <v>0</v>
      </c>
      <c r="L119" s="53" t="s">
        <v>27</v>
      </c>
      <c r="M119" s="55"/>
    </row>
    <row r="120" spans="1:15" ht="14.5" x14ac:dyDescent="0.3">
      <c r="A120" s="95" t="s">
        <v>183</v>
      </c>
      <c r="B120" s="51" t="s">
        <v>184</v>
      </c>
      <c r="C120" s="6">
        <v>89</v>
      </c>
      <c r="D120" s="6">
        <v>1</v>
      </c>
      <c r="E120" s="110">
        <f t="shared" si="16"/>
        <v>89</v>
      </c>
      <c r="F120" s="111">
        <v>50</v>
      </c>
      <c r="G120" s="110">
        <f t="shared" si="17"/>
        <v>4450</v>
      </c>
      <c r="H120" s="7">
        <v>4450</v>
      </c>
      <c r="I120" s="112">
        <f t="shared" ref="I120:I134" si="19">G120-H120</f>
        <v>0</v>
      </c>
      <c r="J120" s="112">
        <f t="shared" ref="J120:J130" si="20">G120-H120</f>
        <v>0</v>
      </c>
      <c r="K120" s="112">
        <f t="shared" si="18"/>
        <v>0</v>
      </c>
      <c r="L120" s="53" t="s">
        <v>27</v>
      </c>
      <c r="M120" s="55"/>
    </row>
    <row r="121" spans="1:15" ht="25" x14ac:dyDescent="0.3">
      <c r="A121" s="113" t="s">
        <v>185</v>
      </c>
      <c r="B121" s="61" t="s">
        <v>186</v>
      </c>
      <c r="C121" s="20">
        <v>89</v>
      </c>
      <c r="D121" s="20">
        <f>(((37417-150)*0.33)/89)</f>
        <v>138.18101123595505</v>
      </c>
      <c r="E121" s="151">
        <f t="shared" si="16"/>
        <v>12298.11</v>
      </c>
      <c r="F121" s="152">
        <v>1</v>
      </c>
      <c r="G121" s="151">
        <f t="shared" si="17"/>
        <v>12298.11</v>
      </c>
      <c r="H121" s="22">
        <v>12347.609999999999</v>
      </c>
      <c r="I121" s="154">
        <f t="shared" si="19"/>
        <v>-49.499999999998181</v>
      </c>
      <c r="J121" s="153">
        <v>0</v>
      </c>
      <c r="K121" s="153">
        <f t="shared" si="18"/>
        <v>-49.499999999998181</v>
      </c>
      <c r="L121" s="27" t="s">
        <v>235</v>
      </c>
      <c r="M121" s="55"/>
    </row>
    <row r="122" spans="1:15" ht="14.5" x14ac:dyDescent="0.3">
      <c r="A122" s="95" t="s">
        <v>166</v>
      </c>
      <c r="B122" s="51" t="s">
        <v>167</v>
      </c>
      <c r="C122" s="6">
        <f>(4/10)*973</f>
        <v>389.20000000000005</v>
      </c>
      <c r="D122" s="6">
        <v>1</v>
      </c>
      <c r="E122" s="110">
        <f t="shared" si="16"/>
        <v>389.20000000000005</v>
      </c>
      <c r="F122" s="111">
        <v>1</v>
      </c>
      <c r="G122" s="110">
        <f t="shared" si="17"/>
        <v>389.20000000000005</v>
      </c>
      <c r="H122" s="7">
        <v>389.20000000000005</v>
      </c>
      <c r="I122" s="112">
        <f t="shared" si="19"/>
        <v>0</v>
      </c>
      <c r="J122" s="112">
        <f t="shared" si="20"/>
        <v>0</v>
      </c>
      <c r="K122" s="112">
        <f t="shared" si="18"/>
        <v>0</v>
      </c>
      <c r="L122" s="53" t="s">
        <v>27</v>
      </c>
      <c r="M122" s="55"/>
    </row>
    <row r="123" spans="1:15" ht="14.5" x14ac:dyDescent="0.3">
      <c r="A123" s="50" t="s">
        <v>187</v>
      </c>
      <c r="B123" s="51" t="s">
        <v>188</v>
      </c>
      <c r="C123" s="6">
        <v>89</v>
      </c>
      <c r="D123" s="6">
        <v>1</v>
      </c>
      <c r="E123" s="110">
        <f t="shared" si="16"/>
        <v>89</v>
      </c>
      <c r="F123" s="111">
        <v>2</v>
      </c>
      <c r="G123" s="110">
        <f t="shared" si="17"/>
        <v>178</v>
      </c>
      <c r="H123" s="7">
        <v>178</v>
      </c>
      <c r="I123" s="112">
        <f t="shared" si="19"/>
        <v>0</v>
      </c>
      <c r="J123" s="112">
        <f t="shared" si="20"/>
        <v>0</v>
      </c>
      <c r="K123" s="112">
        <f t="shared" si="18"/>
        <v>0</v>
      </c>
      <c r="L123" s="53" t="s">
        <v>27</v>
      </c>
      <c r="M123" s="55"/>
    </row>
    <row r="124" spans="1:15" ht="25" x14ac:dyDescent="0.3">
      <c r="A124" s="60" t="s">
        <v>189</v>
      </c>
      <c r="B124" s="61" t="s">
        <v>88</v>
      </c>
      <c r="C124" s="20">
        <v>89</v>
      </c>
      <c r="D124" s="20">
        <f>((37417-150)/89)*0.05</f>
        <v>20.936516853932588</v>
      </c>
      <c r="E124" s="151">
        <f t="shared" si="16"/>
        <v>1863.3500000000004</v>
      </c>
      <c r="F124" s="152">
        <v>0.5</v>
      </c>
      <c r="G124" s="151">
        <f t="shared" si="17"/>
        <v>931.67500000000018</v>
      </c>
      <c r="H124" s="22">
        <v>935.42499999999995</v>
      </c>
      <c r="I124" s="154">
        <f>G124-H124</f>
        <v>-3.7499999999997726</v>
      </c>
      <c r="J124" s="154">
        <v>0</v>
      </c>
      <c r="K124" s="154">
        <f t="shared" si="18"/>
        <v>-3.7499999999997726</v>
      </c>
      <c r="L124" s="27" t="s">
        <v>235</v>
      </c>
      <c r="M124" s="55"/>
    </row>
    <row r="125" spans="1:15" ht="25" x14ac:dyDescent="0.3">
      <c r="A125" s="60" t="s">
        <v>190</v>
      </c>
      <c r="B125" s="61" t="s">
        <v>191</v>
      </c>
      <c r="C125" s="20">
        <v>89</v>
      </c>
      <c r="D125" s="20">
        <f>((37417-150)/89)*0.05</f>
        <v>20.936516853932588</v>
      </c>
      <c r="E125" s="151">
        <f t="shared" si="16"/>
        <v>1863.3500000000004</v>
      </c>
      <c r="F125" s="152">
        <v>2</v>
      </c>
      <c r="G125" s="151">
        <f t="shared" si="17"/>
        <v>3726.7000000000007</v>
      </c>
      <c r="H125" s="22">
        <v>3741.7</v>
      </c>
      <c r="I125" s="154">
        <f>G125-H125</f>
        <v>-14.999999999999091</v>
      </c>
      <c r="J125" s="154">
        <v>0</v>
      </c>
      <c r="K125" s="154">
        <f t="shared" si="18"/>
        <v>-14.999999999999091</v>
      </c>
      <c r="L125" s="27" t="s">
        <v>235</v>
      </c>
      <c r="M125" s="55"/>
    </row>
    <row r="126" spans="1:15" ht="14.5" x14ac:dyDescent="0.3">
      <c r="A126" s="50" t="s">
        <v>93</v>
      </c>
      <c r="B126" s="51" t="s">
        <v>192</v>
      </c>
      <c r="C126" s="6">
        <v>89</v>
      </c>
      <c r="D126" s="6">
        <f>1048/89</f>
        <v>11.775280898876405</v>
      </c>
      <c r="E126" s="110">
        <f t="shared" si="16"/>
        <v>1048</v>
      </c>
      <c r="F126" s="111">
        <v>1</v>
      </c>
      <c r="G126" s="110">
        <f t="shared" si="17"/>
        <v>1048</v>
      </c>
      <c r="H126" s="7">
        <v>1048</v>
      </c>
      <c r="I126" s="112">
        <v>0</v>
      </c>
      <c r="J126" s="112">
        <f t="shared" si="20"/>
        <v>0</v>
      </c>
      <c r="K126" s="112">
        <f t="shared" si="18"/>
        <v>0</v>
      </c>
      <c r="L126" s="53" t="s">
        <v>27</v>
      </c>
      <c r="M126" s="55"/>
    </row>
    <row r="127" spans="1:15" ht="14.5" x14ac:dyDescent="0.3">
      <c r="A127" s="115" t="s">
        <v>193</v>
      </c>
      <c r="B127" s="116" t="s">
        <v>96</v>
      </c>
      <c r="C127" s="117">
        <v>1</v>
      </c>
      <c r="D127" s="117">
        <v>1</v>
      </c>
      <c r="E127" s="118">
        <f t="shared" si="16"/>
        <v>1</v>
      </c>
      <c r="F127" s="119">
        <v>0.20039999999999999</v>
      </c>
      <c r="G127" s="118">
        <f t="shared" si="17"/>
        <v>0.20039999999999999</v>
      </c>
      <c r="H127" s="120">
        <v>0.20039999999999999</v>
      </c>
      <c r="I127" s="112">
        <f t="shared" si="19"/>
        <v>0</v>
      </c>
      <c r="J127" s="112">
        <v>0</v>
      </c>
      <c r="K127" s="112">
        <f t="shared" si="18"/>
        <v>0</v>
      </c>
      <c r="L127" s="53" t="s">
        <v>27</v>
      </c>
      <c r="M127" s="55"/>
      <c r="O127" s="55"/>
    </row>
    <row r="128" spans="1:15" ht="14.5" x14ac:dyDescent="0.3">
      <c r="A128" s="50" t="s">
        <v>194</v>
      </c>
      <c r="B128" s="51" t="s">
        <v>132</v>
      </c>
      <c r="C128" s="6">
        <v>89</v>
      </c>
      <c r="D128" s="6">
        <f>(1810/89)</f>
        <v>20.337078651685392</v>
      </c>
      <c r="E128" s="110">
        <f t="shared" si="16"/>
        <v>1809.9999999999998</v>
      </c>
      <c r="F128" s="111">
        <v>0.5</v>
      </c>
      <c r="G128" s="110">
        <f t="shared" si="17"/>
        <v>904.99999999999989</v>
      </c>
      <c r="H128" s="7">
        <v>904.99999999999989</v>
      </c>
      <c r="I128" s="112">
        <f t="shared" si="19"/>
        <v>0</v>
      </c>
      <c r="J128" s="112">
        <v>0</v>
      </c>
      <c r="K128" s="112">
        <f t="shared" si="18"/>
        <v>0</v>
      </c>
      <c r="L128" s="53" t="s">
        <v>27</v>
      </c>
      <c r="M128" s="55"/>
    </row>
    <row r="129" spans="1:13" ht="14.5" x14ac:dyDescent="0.3">
      <c r="A129" s="50" t="s">
        <v>137</v>
      </c>
      <c r="B129" s="51" t="s">
        <v>195</v>
      </c>
      <c r="C129" s="6">
        <v>89</v>
      </c>
      <c r="D129" s="6">
        <v>1</v>
      </c>
      <c r="E129" s="110">
        <f t="shared" si="16"/>
        <v>89</v>
      </c>
      <c r="F129" s="111">
        <v>0.16700000000000001</v>
      </c>
      <c r="G129" s="110">
        <f t="shared" si="17"/>
        <v>14.863000000000001</v>
      </c>
      <c r="H129" s="7">
        <v>14.863000000000001</v>
      </c>
      <c r="I129" s="112">
        <f t="shared" si="19"/>
        <v>0</v>
      </c>
      <c r="J129" s="112">
        <v>0</v>
      </c>
      <c r="K129" s="112">
        <f t="shared" si="18"/>
        <v>0</v>
      </c>
      <c r="L129" s="53" t="s">
        <v>27</v>
      </c>
      <c r="M129" s="55"/>
    </row>
    <row r="130" spans="1:13" ht="14.5" x14ac:dyDescent="0.3">
      <c r="A130" s="50" t="s">
        <v>197</v>
      </c>
      <c r="B130" s="51" t="s">
        <v>198</v>
      </c>
      <c r="C130" s="6">
        <v>89</v>
      </c>
      <c r="D130" s="6">
        <v>1</v>
      </c>
      <c r="E130" s="110">
        <f t="shared" si="16"/>
        <v>89</v>
      </c>
      <c r="F130" s="111">
        <v>5</v>
      </c>
      <c r="G130" s="110">
        <f t="shared" si="17"/>
        <v>445</v>
      </c>
      <c r="H130" s="7">
        <v>445</v>
      </c>
      <c r="I130" s="112">
        <f t="shared" si="19"/>
        <v>0</v>
      </c>
      <c r="J130" s="112">
        <f t="shared" si="20"/>
        <v>0</v>
      </c>
      <c r="K130" s="112">
        <f t="shared" si="18"/>
        <v>0</v>
      </c>
      <c r="L130" s="53" t="s">
        <v>27</v>
      </c>
      <c r="M130" s="55"/>
    </row>
    <row r="131" spans="1:13" ht="14.5" x14ac:dyDescent="0.3">
      <c r="A131" s="50" t="s">
        <v>199</v>
      </c>
      <c r="B131" s="51" t="s">
        <v>200</v>
      </c>
      <c r="C131" s="6">
        <f>89+1267</f>
        <v>1356</v>
      </c>
      <c r="D131" s="6">
        <v>12</v>
      </c>
      <c r="E131" s="110">
        <f t="shared" si="16"/>
        <v>16272</v>
      </c>
      <c r="F131" s="111">
        <v>2</v>
      </c>
      <c r="G131" s="110">
        <f t="shared" si="17"/>
        <v>32544</v>
      </c>
      <c r="H131" s="7">
        <v>32544</v>
      </c>
      <c r="I131" s="112">
        <f>G131-H131</f>
        <v>0</v>
      </c>
      <c r="J131" s="112">
        <v>0</v>
      </c>
      <c r="K131" s="112">
        <f t="shared" si="18"/>
        <v>0</v>
      </c>
      <c r="L131" s="53" t="s">
        <v>27</v>
      </c>
      <c r="M131" s="55"/>
    </row>
    <row r="132" spans="1:13" ht="28" x14ac:dyDescent="0.3">
      <c r="A132" s="50" t="s">
        <v>199</v>
      </c>
      <c r="B132" s="51" t="s">
        <v>201</v>
      </c>
      <c r="C132" s="6">
        <f>1810*0.7</f>
        <v>1267</v>
      </c>
      <c r="D132" s="6">
        <f>((6243960)/1267)*2*0.7</f>
        <v>6899.4033149171264</v>
      </c>
      <c r="E132" s="110">
        <f t="shared" si="16"/>
        <v>8741544</v>
      </c>
      <c r="F132" s="121">
        <v>1.67E-2</v>
      </c>
      <c r="G132" s="110">
        <f t="shared" si="17"/>
        <v>145983.78479999999</v>
      </c>
      <c r="H132" s="7">
        <v>145983.78479999999</v>
      </c>
      <c r="I132" s="112">
        <f>G132-H132</f>
        <v>0</v>
      </c>
      <c r="J132" s="114">
        <v>0</v>
      </c>
      <c r="K132" s="112">
        <f t="shared" si="18"/>
        <v>0</v>
      </c>
      <c r="L132" s="53" t="s">
        <v>27</v>
      </c>
      <c r="M132" s="55"/>
    </row>
    <row r="133" spans="1:13" ht="14.5" x14ac:dyDescent="0.3">
      <c r="A133" s="50" t="s">
        <v>199</v>
      </c>
      <c r="B133" s="51" t="s">
        <v>202</v>
      </c>
      <c r="C133" s="6">
        <f>89+1267</f>
        <v>1356</v>
      </c>
      <c r="D133" s="6">
        <v>1</v>
      </c>
      <c r="E133" s="110">
        <f t="shared" si="16"/>
        <v>1356</v>
      </c>
      <c r="F133" s="111">
        <v>0.25</v>
      </c>
      <c r="G133" s="110">
        <f t="shared" si="17"/>
        <v>339</v>
      </c>
      <c r="H133" s="7">
        <v>339</v>
      </c>
      <c r="I133" s="112">
        <f>G133-H133</f>
        <v>0</v>
      </c>
      <c r="J133" s="114">
        <v>0</v>
      </c>
      <c r="K133" s="114">
        <f t="shared" si="18"/>
        <v>0</v>
      </c>
      <c r="L133" s="53" t="s">
        <v>27</v>
      </c>
      <c r="M133" s="55"/>
    </row>
    <row r="134" spans="1:13" ht="28.5" thickBot="1" x14ac:dyDescent="0.35">
      <c r="A134" s="82" t="s">
        <v>143</v>
      </c>
      <c r="B134" s="74" t="s">
        <v>144</v>
      </c>
      <c r="C134" s="8">
        <v>76</v>
      </c>
      <c r="D134" s="6">
        <v>1</v>
      </c>
      <c r="E134" s="110">
        <f t="shared" si="16"/>
        <v>76</v>
      </c>
      <c r="F134" s="111">
        <v>0.16700000000000001</v>
      </c>
      <c r="G134" s="268">
        <f t="shared" si="17"/>
        <v>12.692</v>
      </c>
      <c r="H134" s="122">
        <v>12.692</v>
      </c>
      <c r="I134" s="112">
        <f t="shared" si="19"/>
        <v>0</v>
      </c>
      <c r="J134" s="114">
        <v>0</v>
      </c>
      <c r="K134" s="114">
        <f t="shared" si="18"/>
        <v>0</v>
      </c>
      <c r="L134" s="53" t="s">
        <v>27</v>
      </c>
      <c r="M134" s="55"/>
    </row>
    <row r="135" spans="1:13" ht="14.5" thickBot="1" x14ac:dyDescent="0.35">
      <c r="A135" s="396" t="s">
        <v>203</v>
      </c>
      <c r="B135" s="396"/>
      <c r="C135" s="3">
        <v>1356</v>
      </c>
      <c r="D135" s="12">
        <f>+E135/C135</f>
        <v>6484.4992699115046</v>
      </c>
      <c r="E135" s="3">
        <f>SUM(E117:E134)</f>
        <v>8792981.0099999998</v>
      </c>
      <c r="F135" s="12">
        <f>+G135/E135</f>
        <v>2.3148564516233389E-2</v>
      </c>
      <c r="G135" s="3">
        <f>SUM(G117:G134)</f>
        <v>203544.88820000002</v>
      </c>
      <c r="H135" s="123">
        <f>SUM(H117:H134)</f>
        <v>203613.13820000002</v>
      </c>
      <c r="I135" s="13">
        <f>SUM(I117:I134)</f>
        <v>-68.249999999997044</v>
      </c>
      <c r="J135" s="13">
        <f>SUM(J117:J134)</f>
        <v>0</v>
      </c>
      <c r="K135" s="13">
        <f>SUM(K117:K134)</f>
        <v>-68.249999999997044</v>
      </c>
      <c r="L135" s="124"/>
    </row>
    <row r="136" spans="1:13" ht="14.5" thickBot="1" x14ac:dyDescent="0.35">
      <c r="A136" s="394" t="s">
        <v>159</v>
      </c>
      <c r="B136" s="394"/>
      <c r="C136" s="394"/>
      <c r="D136" s="394"/>
      <c r="E136" s="394"/>
      <c r="F136" s="394"/>
      <c r="G136" s="394"/>
      <c r="H136" s="394"/>
      <c r="I136" s="394"/>
      <c r="J136" s="394"/>
      <c r="K136" s="394"/>
      <c r="L136" s="395"/>
    </row>
    <row r="137" spans="1:13" ht="14.5" x14ac:dyDescent="0.3">
      <c r="A137" s="95" t="s">
        <v>59</v>
      </c>
      <c r="B137" s="51" t="s">
        <v>152</v>
      </c>
      <c r="C137" s="6">
        <f>0.3*1810</f>
        <v>543</v>
      </c>
      <c r="D137" s="6">
        <f>(10000/543)*2*0.3</f>
        <v>11.049723756906078</v>
      </c>
      <c r="E137" s="108">
        <f t="shared" ref="E137:E141" si="21">C137*D137</f>
        <v>6000</v>
      </c>
      <c r="F137" s="111">
        <v>1.67E-2</v>
      </c>
      <c r="G137" s="268">
        <f t="shared" ref="G137:G141" si="22">E137*F137</f>
        <v>100.2</v>
      </c>
      <c r="H137" s="7">
        <v>100.2</v>
      </c>
      <c r="I137" s="269">
        <f t="shared" ref="I137:I138" si="23">G137-H137</f>
        <v>0</v>
      </c>
      <c r="J137" s="269">
        <v>0</v>
      </c>
      <c r="K137" s="125">
        <f>G137-H137</f>
        <v>0</v>
      </c>
      <c r="L137" s="53" t="s">
        <v>27</v>
      </c>
    </row>
    <row r="138" spans="1:13" ht="25" x14ac:dyDescent="0.3">
      <c r="A138" s="113" t="s">
        <v>204</v>
      </c>
      <c r="B138" s="61" t="s">
        <v>205</v>
      </c>
      <c r="C138" s="20">
        <f>37417-150</f>
        <v>37267</v>
      </c>
      <c r="D138" s="20">
        <v>1</v>
      </c>
      <c r="E138" s="151">
        <f t="shared" si="21"/>
        <v>37267</v>
      </c>
      <c r="F138" s="152">
        <v>0.16700000000000001</v>
      </c>
      <c r="G138" s="151">
        <f t="shared" si="22"/>
        <v>6223.5889999999999</v>
      </c>
      <c r="H138" s="22">
        <v>6248.6390000000001</v>
      </c>
      <c r="I138" s="62">
        <f t="shared" si="23"/>
        <v>-25.050000000000182</v>
      </c>
      <c r="J138" s="62">
        <v>0</v>
      </c>
      <c r="K138" s="272">
        <f t="shared" ref="K138:K141" si="24">G138-H138</f>
        <v>-25.050000000000182</v>
      </c>
      <c r="L138" s="27" t="s">
        <v>235</v>
      </c>
    </row>
    <row r="139" spans="1:13" ht="14.5" x14ac:dyDescent="0.3">
      <c r="A139" s="50" t="s">
        <v>199</v>
      </c>
      <c r="B139" s="51" t="s">
        <v>200</v>
      </c>
      <c r="C139" s="6">
        <f>1810*0.3</f>
        <v>543</v>
      </c>
      <c r="D139" s="6">
        <v>12</v>
      </c>
      <c r="E139" s="110">
        <f t="shared" si="21"/>
        <v>6516</v>
      </c>
      <c r="F139" s="111">
        <v>2</v>
      </c>
      <c r="G139" s="110">
        <f t="shared" si="22"/>
        <v>13032</v>
      </c>
      <c r="H139" s="7">
        <v>13032</v>
      </c>
      <c r="I139" s="52">
        <f>G139-H139</f>
        <v>0</v>
      </c>
      <c r="J139" s="52">
        <v>0</v>
      </c>
      <c r="K139" s="125">
        <f t="shared" si="24"/>
        <v>0</v>
      </c>
      <c r="L139" s="53" t="s">
        <v>27</v>
      </c>
    </row>
    <row r="140" spans="1:13" ht="28" x14ac:dyDescent="0.3">
      <c r="A140" s="50" t="s">
        <v>199</v>
      </c>
      <c r="B140" s="51" t="s">
        <v>201</v>
      </c>
      <c r="C140" s="6">
        <f>1810*0.3</f>
        <v>543</v>
      </c>
      <c r="D140" s="6">
        <f>((6243960)/543)*2*0.3</f>
        <v>6899.4033149171273</v>
      </c>
      <c r="E140" s="110">
        <f t="shared" si="21"/>
        <v>3746376</v>
      </c>
      <c r="F140" s="121">
        <v>1.67E-2</v>
      </c>
      <c r="G140" s="110">
        <f t="shared" si="22"/>
        <v>62564.479200000002</v>
      </c>
      <c r="H140" s="7">
        <v>62564.479200000002</v>
      </c>
      <c r="I140" s="52">
        <f>G140-H140</f>
        <v>0</v>
      </c>
      <c r="J140" s="52">
        <v>0</v>
      </c>
      <c r="K140" s="125">
        <f t="shared" si="24"/>
        <v>0</v>
      </c>
      <c r="L140" s="53" t="s">
        <v>27</v>
      </c>
    </row>
    <row r="141" spans="1:13" ht="15" thickBot="1" x14ac:dyDescent="0.35">
      <c r="A141" s="50" t="s">
        <v>199</v>
      </c>
      <c r="B141" s="51" t="s">
        <v>202</v>
      </c>
      <c r="C141" s="6">
        <f>1810*0.3</f>
        <v>543</v>
      </c>
      <c r="D141" s="6">
        <v>1</v>
      </c>
      <c r="E141" s="110">
        <f t="shared" si="21"/>
        <v>543</v>
      </c>
      <c r="F141" s="111">
        <v>0.25</v>
      </c>
      <c r="G141" s="108">
        <f t="shared" si="22"/>
        <v>135.75</v>
      </c>
      <c r="H141" s="7">
        <v>135.75</v>
      </c>
      <c r="I141" s="270">
        <f>G141-H141</f>
        <v>0</v>
      </c>
      <c r="J141" s="270">
        <v>0</v>
      </c>
      <c r="K141" s="125">
        <f t="shared" si="24"/>
        <v>0</v>
      </c>
      <c r="L141" s="53" t="s">
        <v>27</v>
      </c>
    </row>
    <row r="142" spans="1:13" ht="14.5" thickBot="1" x14ac:dyDescent="0.35">
      <c r="A142" s="396" t="s">
        <v>206</v>
      </c>
      <c r="B142" s="396"/>
      <c r="C142" s="3">
        <f>C138+543</f>
        <v>37810</v>
      </c>
      <c r="D142" s="12">
        <f>E142/C142</f>
        <v>100.4152869611214</v>
      </c>
      <c r="E142" s="380">
        <f>SUM(E137:E141)</f>
        <v>3796702</v>
      </c>
      <c r="F142" s="12">
        <f>G142/E142</f>
        <v>2.161244632841872E-2</v>
      </c>
      <c r="G142" s="488">
        <f>SUM(G137:G141)</f>
        <v>82056.018200000006</v>
      </c>
      <c r="H142" s="483">
        <f>SUM(H137:H141)</f>
        <v>82081.068200000009</v>
      </c>
      <c r="I142" s="13">
        <f>SUM(I137:I141)</f>
        <v>-25.050000000000182</v>
      </c>
      <c r="J142" s="13">
        <f>SUM(J137:J141)</f>
        <v>0</v>
      </c>
      <c r="K142" s="13">
        <f>SUM(K137:K141)</f>
        <v>-25.050000000000182</v>
      </c>
      <c r="L142" s="124"/>
    </row>
    <row r="143" spans="1:13" ht="14.5" thickBot="1" x14ac:dyDescent="0.35">
      <c r="A143" s="397" t="s">
        <v>207</v>
      </c>
      <c r="B143" s="398"/>
      <c r="C143" s="3">
        <f>C142+C135</f>
        <v>39166</v>
      </c>
      <c r="D143" s="12">
        <f>+E143/C143</f>
        <v>321.44418653934537</v>
      </c>
      <c r="E143" s="3">
        <f>E142+E135</f>
        <v>12589683.01</v>
      </c>
      <c r="F143" s="12">
        <f>G143/E143</f>
        <v>2.2685313535944225E-2</v>
      </c>
      <c r="G143" s="3">
        <f>G142+G135</f>
        <v>285600.90640000004</v>
      </c>
      <c r="H143" s="123">
        <f>H142+H135</f>
        <v>285694.20640000002</v>
      </c>
      <c r="I143" s="13">
        <f>I142+I135</f>
        <v>-93.299999999997226</v>
      </c>
      <c r="J143" s="13">
        <f>J142+J135</f>
        <v>0</v>
      </c>
      <c r="K143" s="3">
        <f>K142+K135</f>
        <v>-93.299999999997226</v>
      </c>
      <c r="L143" s="124"/>
    </row>
    <row r="144" spans="1:13" x14ac:dyDescent="0.3">
      <c r="A144" s="399" t="s">
        <v>208</v>
      </c>
      <c r="B144" s="399"/>
      <c r="C144" s="399"/>
      <c r="D144" s="399"/>
      <c r="E144" s="399"/>
      <c r="F144" s="399"/>
      <c r="G144" s="399"/>
      <c r="H144" s="399"/>
      <c r="I144" s="399"/>
      <c r="J144" s="399"/>
      <c r="K144" s="399"/>
      <c r="L144" s="400"/>
    </row>
    <row r="145" spans="1:13" ht="14.5" thickBot="1" x14ac:dyDescent="0.35">
      <c r="A145" s="401" t="s">
        <v>23</v>
      </c>
      <c r="B145" s="401"/>
      <c r="C145" s="401"/>
      <c r="D145" s="401"/>
      <c r="E145" s="401"/>
      <c r="F145" s="401"/>
      <c r="G145" s="401"/>
      <c r="H145" s="401"/>
      <c r="I145" s="401"/>
      <c r="J145" s="401"/>
      <c r="K145" s="401"/>
      <c r="L145" s="402"/>
    </row>
    <row r="146" spans="1:13" ht="15" thickBot="1" x14ac:dyDescent="0.35">
      <c r="A146" s="50" t="s">
        <v>209</v>
      </c>
      <c r="B146" s="51" t="s">
        <v>210</v>
      </c>
      <c r="C146" s="6">
        <f>(89*0.33)</f>
        <v>29.37</v>
      </c>
      <c r="D146" s="6">
        <v>1</v>
      </c>
      <c r="E146" s="15">
        <f t="shared" ref="E146" si="25">C146*D146</f>
        <v>29.37</v>
      </c>
      <c r="F146" s="5">
        <v>0.5</v>
      </c>
      <c r="G146" s="15">
        <f t="shared" ref="G146" si="26">E146*F146</f>
        <v>14.685</v>
      </c>
      <c r="H146" s="7">
        <v>14.685</v>
      </c>
      <c r="I146" s="52">
        <f t="shared" ref="I146" si="27">G146-H146</f>
        <v>0</v>
      </c>
      <c r="J146" s="52">
        <v>0</v>
      </c>
      <c r="K146" s="52">
        <f>G146-H146</f>
        <v>0</v>
      </c>
      <c r="L146" s="53" t="s">
        <v>27</v>
      </c>
    </row>
    <row r="147" spans="1:13" ht="14.5" thickBot="1" x14ac:dyDescent="0.35">
      <c r="A147" s="396" t="s">
        <v>211</v>
      </c>
      <c r="B147" s="396"/>
      <c r="C147" s="3">
        <f t="shared" ref="C147:K148" si="28">C146</f>
        <v>29.37</v>
      </c>
      <c r="D147" s="12">
        <f t="shared" si="28"/>
        <v>1</v>
      </c>
      <c r="E147" s="3">
        <f t="shared" si="28"/>
        <v>29.37</v>
      </c>
      <c r="F147" s="12">
        <f t="shared" si="28"/>
        <v>0.5</v>
      </c>
      <c r="G147" s="3">
        <f t="shared" si="28"/>
        <v>14.685</v>
      </c>
      <c r="H147" s="123">
        <f t="shared" si="28"/>
        <v>14.685</v>
      </c>
      <c r="I147" s="13">
        <f t="shared" si="28"/>
        <v>0</v>
      </c>
      <c r="J147" s="13">
        <f t="shared" si="28"/>
        <v>0</v>
      </c>
      <c r="K147" s="13">
        <f t="shared" si="28"/>
        <v>0</v>
      </c>
      <c r="L147" s="124"/>
    </row>
    <row r="148" spans="1:13" ht="14.5" thickBot="1" x14ac:dyDescent="0.35">
      <c r="A148" s="397" t="s">
        <v>212</v>
      </c>
      <c r="B148" s="398"/>
      <c r="C148" s="3">
        <f t="shared" si="28"/>
        <v>29.37</v>
      </c>
      <c r="D148" s="12">
        <f t="shared" si="28"/>
        <v>1</v>
      </c>
      <c r="E148" s="3">
        <f t="shared" si="28"/>
        <v>29.37</v>
      </c>
      <c r="F148" s="12">
        <f t="shared" si="28"/>
        <v>0.5</v>
      </c>
      <c r="G148" s="3">
        <f t="shared" si="28"/>
        <v>14.685</v>
      </c>
      <c r="H148" s="123">
        <f t="shared" si="28"/>
        <v>14.685</v>
      </c>
      <c r="I148" s="13">
        <f t="shared" si="28"/>
        <v>0</v>
      </c>
      <c r="J148" s="13">
        <f t="shared" si="28"/>
        <v>0</v>
      </c>
      <c r="K148" s="13">
        <f t="shared" si="28"/>
        <v>0</v>
      </c>
      <c r="L148" s="124"/>
    </row>
    <row r="149" spans="1:13" ht="36" customHeight="1" thickBot="1" x14ac:dyDescent="0.35">
      <c r="A149" s="403" t="s">
        <v>213</v>
      </c>
      <c r="B149" s="404"/>
      <c r="C149" s="4">
        <f>C114</f>
        <v>6283126</v>
      </c>
      <c r="D149" s="9">
        <f>E149/C149</f>
        <v>10.801623302309284</v>
      </c>
      <c r="E149" s="4">
        <f>E143+E114+E148</f>
        <v>67867960.212945327</v>
      </c>
      <c r="F149" s="9">
        <f>G149/E149</f>
        <v>0.25583358448270821</v>
      </c>
      <c r="G149" s="4">
        <f>G143+G114+G148</f>
        <v>17362903.53280763</v>
      </c>
      <c r="H149" s="126">
        <f>H143+H114+H148</f>
        <v>15693814.381077295</v>
      </c>
      <c r="I149" s="4">
        <f>I143+I114+I148</f>
        <v>1669089.1517303376</v>
      </c>
      <c r="J149" s="4">
        <f>J143+J114+J148</f>
        <v>0</v>
      </c>
      <c r="K149" s="127">
        <f>G149-H149</f>
        <v>1669089.1517303344</v>
      </c>
      <c r="L149" s="128"/>
      <c r="M149" s="55"/>
    </row>
    <row r="150" spans="1:13" ht="14.5" thickBot="1" x14ac:dyDescent="0.35"/>
    <row r="151" spans="1:13" ht="14.5" thickBot="1" x14ac:dyDescent="0.35">
      <c r="A151" s="385" t="s">
        <v>214</v>
      </c>
      <c r="B151" s="386"/>
      <c r="C151" s="386"/>
      <c r="D151" s="387"/>
      <c r="F151" s="63"/>
      <c r="G151" s="281"/>
    </row>
    <row r="152" spans="1:13" ht="14.5" thickBot="1" x14ac:dyDescent="0.35">
      <c r="A152" s="381" t="s">
        <v>215</v>
      </c>
      <c r="B152" s="382"/>
      <c r="C152" s="383">
        <f>+C114</f>
        <v>6283126</v>
      </c>
      <c r="D152" s="384"/>
      <c r="E152" s="130"/>
      <c r="F152" s="280"/>
      <c r="G152" s="282"/>
    </row>
    <row r="153" spans="1:13" ht="14.5" thickBot="1" x14ac:dyDescent="0.35">
      <c r="A153" s="392" t="s">
        <v>216</v>
      </c>
      <c r="B153" s="393"/>
      <c r="C153" s="390">
        <f>+C154/C152</f>
        <v>8.7978894316213481</v>
      </c>
      <c r="D153" s="391"/>
    </row>
    <row r="154" spans="1:13" ht="14.5" thickBot="1" x14ac:dyDescent="0.35">
      <c r="A154" s="381" t="s">
        <v>217</v>
      </c>
      <c r="B154" s="382"/>
      <c r="C154" s="383">
        <f>+E114</f>
        <v>55278247.832945317</v>
      </c>
      <c r="D154" s="384"/>
      <c r="F154" s="131"/>
    </row>
    <row r="155" spans="1:13" ht="14.5" thickBot="1" x14ac:dyDescent="0.35">
      <c r="A155" s="381" t="s">
        <v>218</v>
      </c>
      <c r="B155" s="382"/>
      <c r="C155" s="390">
        <f>+C156/C154</f>
        <v>0.30893323523958965</v>
      </c>
      <c r="D155" s="391"/>
      <c r="F155" s="156"/>
    </row>
    <row r="156" spans="1:13" ht="14.5" thickBot="1" x14ac:dyDescent="0.35">
      <c r="A156" s="381" t="s">
        <v>219</v>
      </c>
      <c r="B156" s="382"/>
      <c r="C156" s="383">
        <f>+G114</f>
        <v>17077287.941407632</v>
      </c>
      <c r="D156" s="384"/>
      <c r="F156" s="132"/>
    </row>
    <row r="157" spans="1:13" ht="14.5" thickBot="1" x14ac:dyDescent="0.35">
      <c r="A157" s="381" t="s">
        <v>220</v>
      </c>
      <c r="B157" s="382"/>
      <c r="C157" s="383">
        <f>H114</f>
        <v>15408105.489677295</v>
      </c>
      <c r="D157" s="384"/>
    </row>
    <row r="158" spans="1:13" ht="14.5" thickBot="1" x14ac:dyDescent="0.35">
      <c r="A158" s="388" t="s">
        <v>221</v>
      </c>
      <c r="B158" s="389"/>
      <c r="C158" s="383">
        <f>C156-C157</f>
        <v>1669182.451730337</v>
      </c>
      <c r="D158" s="384"/>
    </row>
    <row r="160" spans="1:13" ht="14.5" thickBot="1" x14ac:dyDescent="0.35">
      <c r="A160" s="385" t="s">
        <v>222</v>
      </c>
      <c r="B160" s="386"/>
      <c r="C160" s="386"/>
      <c r="D160" s="387"/>
    </row>
    <row r="161" spans="1:4" ht="14.5" thickBot="1" x14ac:dyDescent="0.35">
      <c r="A161" s="381" t="s">
        <v>223</v>
      </c>
      <c r="B161" s="382"/>
      <c r="C161" s="383">
        <f>+C143</f>
        <v>39166</v>
      </c>
      <c r="D161" s="384"/>
    </row>
    <row r="162" spans="1:4" ht="14.5" thickBot="1" x14ac:dyDescent="0.35">
      <c r="A162" s="392" t="s">
        <v>216</v>
      </c>
      <c r="B162" s="393"/>
      <c r="C162" s="390">
        <f>+C163/C161</f>
        <v>321.44418653934537</v>
      </c>
      <c r="D162" s="391"/>
    </row>
    <row r="163" spans="1:4" ht="14.5" thickBot="1" x14ac:dyDescent="0.35">
      <c r="A163" s="381" t="s">
        <v>217</v>
      </c>
      <c r="B163" s="382"/>
      <c r="C163" s="383">
        <f>+E143</f>
        <v>12589683.01</v>
      </c>
      <c r="D163" s="384"/>
    </row>
    <row r="164" spans="1:4" ht="14.5" thickBot="1" x14ac:dyDescent="0.35">
      <c r="A164" s="381" t="s">
        <v>218</v>
      </c>
      <c r="B164" s="382"/>
      <c r="C164" s="390">
        <f>+C165/C163</f>
        <v>2.2685313535944225E-2</v>
      </c>
      <c r="D164" s="391"/>
    </row>
    <row r="165" spans="1:4" ht="14.5" thickBot="1" x14ac:dyDescent="0.35">
      <c r="A165" s="381" t="s">
        <v>219</v>
      </c>
      <c r="B165" s="382"/>
      <c r="C165" s="383">
        <f>+G143</f>
        <v>285600.90640000004</v>
      </c>
      <c r="D165" s="384"/>
    </row>
    <row r="166" spans="1:4" ht="14.5" thickBot="1" x14ac:dyDescent="0.35">
      <c r="A166" s="381" t="s">
        <v>220</v>
      </c>
      <c r="B166" s="382"/>
      <c r="C166" s="383">
        <f>+H143</f>
        <v>285694.20640000002</v>
      </c>
      <c r="D166" s="384"/>
    </row>
    <row r="167" spans="1:4" ht="14.5" thickBot="1" x14ac:dyDescent="0.35">
      <c r="A167" s="388" t="s">
        <v>221</v>
      </c>
      <c r="B167" s="389"/>
      <c r="C167" s="383">
        <f>C165-C166</f>
        <v>-93.299999999988358</v>
      </c>
      <c r="D167" s="384"/>
    </row>
    <row r="169" spans="1:4" ht="14.5" thickBot="1" x14ac:dyDescent="0.35">
      <c r="A169" s="385" t="s">
        <v>224</v>
      </c>
      <c r="B169" s="386"/>
      <c r="C169" s="386"/>
      <c r="D169" s="387"/>
    </row>
    <row r="170" spans="1:4" ht="14.5" thickBot="1" x14ac:dyDescent="0.35">
      <c r="A170" s="381" t="s">
        <v>223</v>
      </c>
      <c r="B170" s="382"/>
      <c r="C170" s="383">
        <f>C148</f>
        <v>29.37</v>
      </c>
      <c r="D170" s="384"/>
    </row>
    <row r="171" spans="1:4" ht="14.5" thickBot="1" x14ac:dyDescent="0.35">
      <c r="A171" s="392" t="s">
        <v>216</v>
      </c>
      <c r="B171" s="393"/>
      <c r="C171" s="390">
        <f>D148</f>
        <v>1</v>
      </c>
      <c r="D171" s="391"/>
    </row>
    <row r="172" spans="1:4" ht="14.5" thickBot="1" x14ac:dyDescent="0.35">
      <c r="A172" s="381" t="s">
        <v>217</v>
      </c>
      <c r="B172" s="382"/>
      <c r="C172" s="383">
        <f>E148</f>
        <v>29.37</v>
      </c>
      <c r="D172" s="384"/>
    </row>
    <row r="173" spans="1:4" ht="14.5" thickBot="1" x14ac:dyDescent="0.35">
      <c r="A173" s="381" t="s">
        <v>218</v>
      </c>
      <c r="B173" s="382"/>
      <c r="C173" s="390">
        <f>F148</f>
        <v>0.5</v>
      </c>
      <c r="D173" s="391"/>
    </row>
    <row r="174" spans="1:4" ht="14.5" thickBot="1" x14ac:dyDescent="0.35">
      <c r="A174" s="381" t="s">
        <v>219</v>
      </c>
      <c r="B174" s="382"/>
      <c r="C174" s="383">
        <f>G148</f>
        <v>14.685</v>
      </c>
      <c r="D174" s="384"/>
    </row>
    <row r="175" spans="1:4" ht="14.5" thickBot="1" x14ac:dyDescent="0.35">
      <c r="A175" s="381" t="s">
        <v>220</v>
      </c>
      <c r="B175" s="382"/>
      <c r="C175" s="383">
        <f>H148</f>
        <v>14.685</v>
      </c>
      <c r="D175" s="384"/>
    </row>
    <row r="176" spans="1:4" ht="14.5" thickBot="1" x14ac:dyDescent="0.35">
      <c r="A176" s="388" t="s">
        <v>221</v>
      </c>
      <c r="B176" s="389"/>
      <c r="C176" s="383">
        <f>C174-C175</f>
        <v>0</v>
      </c>
      <c r="D176" s="384"/>
    </row>
    <row r="177" spans="1:7" ht="14.5" thickBot="1" x14ac:dyDescent="0.35">
      <c r="A177" s="245"/>
      <c r="B177" s="133"/>
      <c r="C177" s="134"/>
      <c r="D177" s="244"/>
    </row>
    <row r="178" spans="1:7" ht="14.5" thickBot="1" x14ac:dyDescent="0.35">
      <c r="A178" s="385" t="s">
        <v>238</v>
      </c>
      <c r="B178" s="386"/>
      <c r="C178" s="386"/>
      <c r="D178" s="387"/>
    </row>
    <row r="179" spans="1:7" ht="14.5" thickBot="1" x14ac:dyDescent="0.35">
      <c r="A179" s="381" t="s">
        <v>250</v>
      </c>
      <c r="B179" s="382"/>
      <c r="C179" s="383">
        <f>C149</f>
        <v>6283126</v>
      </c>
      <c r="D179" s="384"/>
    </row>
    <row r="180" spans="1:7" ht="28.5" thickBot="1" x14ac:dyDescent="0.35">
      <c r="A180" s="381" t="s">
        <v>226</v>
      </c>
      <c r="B180" s="382"/>
      <c r="C180" s="383">
        <f>E149</f>
        <v>67867960.212945327</v>
      </c>
      <c r="D180" s="384"/>
      <c r="E180" s="54" t="s">
        <v>275</v>
      </c>
      <c r="G180" s="155"/>
    </row>
    <row r="181" spans="1:7" ht="14.5" thickBot="1" x14ac:dyDescent="0.35">
      <c r="A181" s="381" t="s">
        <v>227</v>
      </c>
      <c r="B181" s="382"/>
      <c r="C181" s="383">
        <f>G149</f>
        <v>17362903.53280763</v>
      </c>
      <c r="D181" s="384"/>
    </row>
    <row r="182" spans="1:7" ht="14.5" thickBot="1" x14ac:dyDescent="0.35">
      <c r="A182" s="381" t="s">
        <v>220</v>
      </c>
      <c r="B182" s="382"/>
      <c r="C182" s="383">
        <f>H149</f>
        <v>15693814.381077295</v>
      </c>
      <c r="D182" s="384"/>
    </row>
    <row r="183" spans="1:7" ht="14.5" thickBot="1" x14ac:dyDescent="0.35">
      <c r="A183" s="388" t="s">
        <v>221</v>
      </c>
      <c r="B183" s="389"/>
      <c r="C183" s="383">
        <f>C181-C182</f>
        <v>1669089.1517303344</v>
      </c>
      <c r="D183" s="384"/>
    </row>
    <row r="184" spans="1:7" ht="14.5" thickBot="1" x14ac:dyDescent="0.35"/>
    <row r="185" spans="1:7" ht="14.25" customHeight="1" thickBot="1" x14ac:dyDescent="0.35">
      <c r="A185" s="385" t="s">
        <v>251</v>
      </c>
      <c r="B185" s="386"/>
      <c r="C185" s="386"/>
      <c r="D185" s="387"/>
    </row>
    <row r="186" spans="1:7" ht="14.5" thickBot="1" x14ac:dyDescent="0.35">
      <c r="A186" s="381" t="s">
        <v>250</v>
      </c>
      <c r="B186" s="382"/>
      <c r="C186" s="383">
        <v>6283276</v>
      </c>
      <c r="D186" s="384"/>
      <c r="G186" s="155"/>
    </row>
    <row r="187" spans="1:7" ht="14.5" thickBot="1" x14ac:dyDescent="0.35">
      <c r="A187" s="381" t="s">
        <v>226</v>
      </c>
      <c r="B187" s="382"/>
      <c r="C187" s="485">
        <v>55379486</v>
      </c>
      <c r="D187" s="486"/>
      <c r="E187" s="155">
        <f>C180-C187</f>
        <v>12488474.212945327</v>
      </c>
    </row>
    <row r="188" spans="1:7" ht="14.5" thickBot="1" x14ac:dyDescent="0.35">
      <c r="A188" s="381" t="s">
        <v>227</v>
      </c>
      <c r="B188" s="382"/>
      <c r="C188" s="485">
        <v>15693814</v>
      </c>
      <c r="D188" s="486"/>
    </row>
  </sheetData>
  <mergeCells count="83">
    <mergeCell ref="A135:B135"/>
    <mergeCell ref="A1:L1"/>
    <mergeCell ref="A3:L3"/>
    <mergeCell ref="A4:L4"/>
    <mergeCell ref="A72:B72"/>
    <mergeCell ref="A73:L73"/>
    <mergeCell ref="A86:B86"/>
    <mergeCell ref="A87:L87"/>
    <mergeCell ref="A113:B113"/>
    <mergeCell ref="A114:B114"/>
    <mergeCell ref="A115:L115"/>
    <mergeCell ref="A116:L116"/>
    <mergeCell ref="A153:B153"/>
    <mergeCell ref="C153:D153"/>
    <mergeCell ref="A136:L136"/>
    <mergeCell ref="A142:B142"/>
    <mergeCell ref="A143:B143"/>
    <mergeCell ref="A144:L144"/>
    <mergeCell ref="A145:L145"/>
    <mergeCell ref="A147:B147"/>
    <mergeCell ref="A148:B148"/>
    <mergeCell ref="A149:B149"/>
    <mergeCell ref="A151:D151"/>
    <mergeCell ref="A152:B152"/>
    <mergeCell ref="C152:D152"/>
    <mergeCell ref="A161:B161"/>
    <mergeCell ref="C161:D161"/>
    <mergeCell ref="A154:B154"/>
    <mergeCell ref="C154:D154"/>
    <mergeCell ref="A155:B155"/>
    <mergeCell ref="C155:D155"/>
    <mergeCell ref="A156:B156"/>
    <mergeCell ref="C156:D156"/>
    <mergeCell ref="A157:B157"/>
    <mergeCell ref="C157:D157"/>
    <mergeCell ref="A158:B158"/>
    <mergeCell ref="C158:D158"/>
    <mergeCell ref="A160:D160"/>
    <mergeCell ref="A162:B162"/>
    <mergeCell ref="C162:D162"/>
    <mergeCell ref="A163:B163"/>
    <mergeCell ref="C163:D163"/>
    <mergeCell ref="A164:B164"/>
    <mergeCell ref="C164:D164"/>
    <mergeCell ref="A172:B172"/>
    <mergeCell ref="C172:D172"/>
    <mergeCell ref="A165:B165"/>
    <mergeCell ref="C165:D165"/>
    <mergeCell ref="A166:B166"/>
    <mergeCell ref="C166:D166"/>
    <mergeCell ref="A167:B167"/>
    <mergeCell ref="C167:D167"/>
    <mergeCell ref="A169:D169"/>
    <mergeCell ref="A170:B170"/>
    <mergeCell ref="C170:D170"/>
    <mergeCell ref="A171:B171"/>
    <mergeCell ref="C171:D171"/>
    <mergeCell ref="A173:B173"/>
    <mergeCell ref="C173:D173"/>
    <mergeCell ref="A174:B174"/>
    <mergeCell ref="C174:D174"/>
    <mergeCell ref="A175:B175"/>
    <mergeCell ref="C175:D175"/>
    <mergeCell ref="A182:B182"/>
    <mergeCell ref="C182:D182"/>
    <mergeCell ref="A183:B183"/>
    <mergeCell ref="C183:D183"/>
    <mergeCell ref="A176:B176"/>
    <mergeCell ref="C176:D176"/>
    <mergeCell ref="A178:D178"/>
    <mergeCell ref="A180:B180"/>
    <mergeCell ref="C180:D180"/>
    <mergeCell ref="A181:B181"/>
    <mergeCell ref="C181:D181"/>
    <mergeCell ref="A179:B179"/>
    <mergeCell ref="C179:D179"/>
    <mergeCell ref="A188:B188"/>
    <mergeCell ref="C188:D188"/>
    <mergeCell ref="A185:D185"/>
    <mergeCell ref="A186:B186"/>
    <mergeCell ref="C186:D186"/>
    <mergeCell ref="A187:B187"/>
    <mergeCell ref="C187:D18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6EA07-9741-4C2C-A272-40C6B886B528}">
  <dimension ref="A1:V71"/>
  <sheetViews>
    <sheetView zoomScaleNormal="100" workbookViewId="0">
      <pane ySplit="2" topLeftCell="A3" activePane="bottomLeft" state="frozen"/>
      <selection pane="bottomLeft" activeCell="A8" sqref="A8"/>
    </sheetView>
  </sheetViews>
  <sheetFormatPr defaultColWidth="9.1796875" defaultRowHeight="14" x14ac:dyDescent="0.3"/>
  <cols>
    <col min="1" max="1" width="18.7265625" style="314" bestFit="1" customWidth="1"/>
    <col min="2" max="2" width="33.54296875" style="366" bestFit="1" customWidth="1"/>
    <col min="3" max="3" width="15.1796875" style="314" bestFit="1" customWidth="1"/>
    <col min="4" max="4" width="14.1796875" style="314" customWidth="1"/>
    <col min="5" max="5" width="17.7265625" style="314" customWidth="1"/>
    <col min="6" max="6" width="14.26953125" style="314" bestFit="1" customWidth="1"/>
    <col min="7" max="7" width="16.26953125" style="314" customWidth="1"/>
    <col min="8" max="8" width="15.54296875" style="314" bestFit="1" customWidth="1"/>
    <col min="9" max="9" width="15.7265625" style="313" customWidth="1"/>
    <col min="10" max="10" width="14" style="314" bestFit="1" customWidth="1"/>
    <col min="11" max="11" width="14" style="314" customWidth="1"/>
    <col min="12" max="12" width="57.453125" style="366" customWidth="1"/>
    <col min="13" max="13" width="42.453125" style="314" customWidth="1"/>
    <col min="14" max="14" width="28.1796875" style="314" customWidth="1"/>
    <col min="15" max="15" width="16.81640625" style="314" customWidth="1"/>
    <col min="16" max="16" width="17.81640625" style="314" customWidth="1"/>
    <col min="17" max="17" width="23.1796875" style="314" customWidth="1"/>
    <col min="18" max="18" width="17.7265625" style="314" customWidth="1"/>
    <col min="19" max="19" width="17.26953125" style="314" customWidth="1"/>
    <col min="20" max="20" width="16.453125" style="314" customWidth="1"/>
    <col min="21" max="21" width="13.453125" style="314" customWidth="1"/>
    <col min="22" max="22" width="14.1796875" style="314" customWidth="1"/>
    <col min="23" max="16384" width="9.1796875" style="314"/>
  </cols>
  <sheetData>
    <row r="1" spans="1:22" s="284" customFormat="1" ht="14.5" thickBot="1" x14ac:dyDescent="0.35">
      <c r="A1" s="443" t="s">
        <v>0</v>
      </c>
      <c r="B1" s="443"/>
      <c r="C1" s="443"/>
      <c r="D1" s="443"/>
      <c r="E1" s="443"/>
      <c r="F1" s="443"/>
      <c r="G1" s="443"/>
      <c r="H1" s="443"/>
      <c r="I1" s="443"/>
      <c r="J1" s="443"/>
      <c r="K1" s="443"/>
      <c r="L1" s="444"/>
      <c r="N1" s="285"/>
      <c r="O1" s="286"/>
    </row>
    <row r="2" spans="1:22" s="284" customFormat="1" ht="58.5" thickBot="1" x14ac:dyDescent="0.3">
      <c r="A2" s="287" t="s">
        <v>2</v>
      </c>
      <c r="B2" s="287" t="s">
        <v>3</v>
      </c>
      <c r="C2" s="288" t="s">
        <v>4</v>
      </c>
      <c r="D2" s="288" t="s">
        <v>5</v>
      </c>
      <c r="E2" s="289" t="s">
        <v>6</v>
      </c>
      <c r="F2" s="288" t="s">
        <v>7</v>
      </c>
      <c r="G2" s="289" t="s">
        <v>8</v>
      </c>
      <c r="H2" s="290" t="s">
        <v>252</v>
      </c>
      <c r="I2" s="291" t="s">
        <v>10</v>
      </c>
      <c r="J2" s="292" t="s">
        <v>11</v>
      </c>
      <c r="K2" s="293" t="s">
        <v>12</v>
      </c>
      <c r="L2" s="294" t="s">
        <v>13</v>
      </c>
      <c r="M2" s="295"/>
      <c r="N2" s="296"/>
      <c r="O2" s="297"/>
      <c r="P2" s="296"/>
      <c r="Q2" s="296"/>
      <c r="R2" s="296"/>
      <c r="S2" s="296"/>
      <c r="T2" s="296"/>
      <c r="U2" s="296"/>
      <c r="V2" s="298"/>
    </row>
    <row r="3" spans="1:22" s="284" customFormat="1" x14ac:dyDescent="0.3">
      <c r="A3" s="437" t="s">
        <v>22</v>
      </c>
      <c r="B3" s="437"/>
      <c r="C3" s="437"/>
      <c r="D3" s="437"/>
      <c r="E3" s="437"/>
      <c r="F3" s="437"/>
      <c r="G3" s="437"/>
      <c r="H3" s="437"/>
      <c r="I3" s="437"/>
      <c r="J3" s="437"/>
      <c r="K3" s="437"/>
      <c r="L3" s="445"/>
      <c r="O3" s="299"/>
      <c r="S3" s="285"/>
      <c r="T3" s="300"/>
      <c r="U3" s="300"/>
      <c r="V3" s="301"/>
    </row>
    <row r="4" spans="1:22" s="284" customFormat="1" ht="14.5" thickBot="1" x14ac:dyDescent="0.35">
      <c r="A4" s="446" t="s">
        <v>23</v>
      </c>
      <c r="B4" s="446"/>
      <c r="C4" s="446"/>
      <c r="D4" s="446"/>
      <c r="E4" s="446"/>
      <c r="F4" s="446"/>
      <c r="G4" s="446"/>
      <c r="H4" s="446"/>
      <c r="I4" s="446"/>
      <c r="J4" s="446"/>
      <c r="K4" s="446"/>
      <c r="L4" s="447"/>
      <c r="M4" s="302"/>
      <c r="S4" s="303"/>
      <c r="T4" s="304"/>
      <c r="U4" s="300"/>
      <c r="V4" s="301"/>
    </row>
    <row r="5" spans="1:22" ht="25" x14ac:dyDescent="0.3">
      <c r="A5" s="305" t="s">
        <v>42</v>
      </c>
      <c r="B5" s="306" t="s">
        <v>43</v>
      </c>
      <c r="C5" s="307">
        <f>1810*0.7</f>
        <v>1267</v>
      </c>
      <c r="D5" s="307">
        <f>(1379126*0.7)/1267</f>
        <v>761.9480662983425</v>
      </c>
      <c r="E5" s="308">
        <f t="shared" ref="E5:E16" si="0">C5*D5</f>
        <v>965388.2</v>
      </c>
      <c r="F5" s="309">
        <v>0.46760000000000002</v>
      </c>
      <c r="G5" s="308">
        <f t="shared" ref="G5:G16" si="1">E5*F5</f>
        <v>451415.52231999999</v>
      </c>
      <c r="H5" s="310">
        <v>403049.57349999994</v>
      </c>
      <c r="I5" s="311">
        <f t="shared" ref="I5:I15" si="2">G5-H5</f>
        <v>48365.948820000049</v>
      </c>
      <c r="J5" s="311">
        <v>0</v>
      </c>
      <c r="K5" s="311">
        <f t="shared" ref="K5:K16" si="3">G5-H5</f>
        <v>48365.948820000049</v>
      </c>
      <c r="L5" s="312" t="s">
        <v>239</v>
      </c>
      <c r="M5" s="313"/>
      <c r="O5" s="313"/>
      <c r="Q5" s="315"/>
      <c r="S5" s="316"/>
      <c r="T5" s="317"/>
      <c r="U5" s="301"/>
      <c r="V5" s="301"/>
    </row>
    <row r="6" spans="1:22" ht="25" x14ac:dyDescent="0.3">
      <c r="A6" s="305" t="s">
        <v>40</v>
      </c>
      <c r="B6" s="306" t="s">
        <v>44</v>
      </c>
      <c r="C6" s="307">
        <f>1810*0.7</f>
        <v>1267</v>
      </c>
      <c r="D6" s="307">
        <f>(3400090*0.7)/1267</f>
        <v>1878.5027624309391</v>
      </c>
      <c r="E6" s="308">
        <f t="shared" si="0"/>
        <v>2380063</v>
      </c>
      <c r="F6" s="309">
        <v>0.46760000000000002</v>
      </c>
      <c r="G6" s="308">
        <f t="shared" si="1"/>
        <v>1112917.4588000001</v>
      </c>
      <c r="H6" s="310">
        <v>993676.30249999999</v>
      </c>
      <c r="I6" s="311">
        <f t="shared" si="2"/>
        <v>119241.15630000015</v>
      </c>
      <c r="J6" s="311">
        <v>0</v>
      </c>
      <c r="K6" s="311">
        <f t="shared" si="3"/>
        <v>119241.15630000015</v>
      </c>
      <c r="L6" s="312" t="s">
        <v>239</v>
      </c>
      <c r="M6" s="313"/>
      <c r="O6" s="313"/>
      <c r="Q6" s="318"/>
      <c r="S6" s="316"/>
      <c r="T6" s="301"/>
      <c r="U6" s="301"/>
      <c r="V6" s="301"/>
    </row>
    <row r="7" spans="1:22" ht="25" x14ac:dyDescent="0.3">
      <c r="A7" s="305" t="s">
        <v>40</v>
      </c>
      <c r="B7" s="306" t="s">
        <v>45</v>
      </c>
      <c r="C7" s="307">
        <f>1810*0.7</f>
        <v>1267</v>
      </c>
      <c r="D7" s="307">
        <f>1*(1464744*0.7/1267)</f>
        <v>809.25082872928169</v>
      </c>
      <c r="E7" s="308">
        <f t="shared" si="0"/>
        <v>1025320.7999999999</v>
      </c>
      <c r="F7" s="309">
        <v>0.46760000000000002</v>
      </c>
      <c r="G7" s="308">
        <f t="shared" si="1"/>
        <v>479440.00607999996</v>
      </c>
      <c r="H7" s="310">
        <v>428071.43399999995</v>
      </c>
      <c r="I7" s="311">
        <f t="shared" si="2"/>
        <v>51368.572080000013</v>
      </c>
      <c r="J7" s="311">
        <v>0</v>
      </c>
      <c r="K7" s="311">
        <f t="shared" si="3"/>
        <v>51368.572080000013</v>
      </c>
      <c r="L7" s="312" t="s">
        <v>239</v>
      </c>
      <c r="M7" s="313"/>
      <c r="O7" s="313"/>
      <c r="Q7" s="319"/>
      <c r="S7" s="316"/>
      <c r="T7" s="320"/>
      <c r="U7" s="301"/>
      <c r="V7" s="301"/>
    </row>
    <row r="8" spans="1:22" ht="25" x14ac:dyDescent="0.3">
      <c r="A8" s="305" t="s">
        <v>40</v>
      </c>
      <c r="B8" s="306" t="s">
        <v>228</v>
      </c>
      <c r="C8" s="307">
        <f>1810*0.7</f>
        <v>1267</v>
      </c>
      <c r="D8" s="307">
        <f>(6243960*0.7)/1267</f>
        <v>3449.7016574585637</v>
      </c>
      <c r="E8" s="308">
        <f t="shared" si="0"/>
        <v>4370772</v>
      </c>
      <c r="F8" s="309">
        <v>8.3500000000000005E-2</v>
      </c>
      <c r="G8" s="308">
        <f t="shared" si="1"/>
        <v>364959.462</v>
      </c>
      <c r="H8" s="310">
        <v>0</v>
      </c>
      <c r="I8" s="311">
        <f t="shared" si="2"/>
        <v>364959.462</v>
      </c>
      <c r="J8" s="311">
        <v>0</v>
      </c>
      <c r="K8" s="311">
        <f t="shared" si="3"/>
        <v>364959.462</v>
      </c>
      <c r="L8" s="321" t="s">
        <v>229</v>
      </c>
      <c r="O8" s="313"/>
      <c r="Q8" s="319"/>
      <c r="S8" s="316"/>
      <c r="T8" s="320"/>
      <c r="U8" s="301"/>
      <c r="V8" s="301"/>
    </row>
    <row r="9" spans="1:22" ht="14.5" x14ac:dyDescent="0.3">
      <c r="A9" s="305" t="s">
        <v>55</v>
      </c>
      <c r="B9" s="306" t="s">
        <v>56</v>
      </c>
      <c r="C9" s="307">
        <v>89</v>
      </c>
      <c r="D9" s="307">
        <v>1</v>
      </c>
      <c r="E9" s="308">
        <f t="shared" si="0"/>
        <v>89</v>
      </c>
      <c r="F9" s="309">
        <v>43</v>
      </c>
      <c r="G9" s="308">
        <f t="shared" si="1"/>
        <v>3827</v>
      </c>
      <c r="H9" s="310">
        <v>3560</v>
      </c>
      <c r="I9" s="311">
        <f t="shared" si="2"/>
        <v>267</v>
      </c>
      <c r="J9" s="311">
        <v>0</v>
      </c>
      <c r="K9" s="311">
        <f t="shared" si="3"/>
        <v>267</v>
      </c>
      <c r="L9" s="321" t="s">
        <v>230</v>
      </c>
      <c r="M9" s="313"/>
      <c r="O9" s="313"/>
    </row>
    <row r="10" spans="1:22" ht="28" x14ac:dyDescent="0.3">
      <c r="A10" s="305" t="s">
        <v>269</v>
      </c>
      <c r="B10" s="306" t="s">
        <v>267</v>
      </c>
      <c r="C10" s="307">
        <v>89</v>
      </c>
      <c r="D10" s="307">
        <v>1</v>
      </c>
      <c r="E10" s="308">
        <f t="shared" si="0"/>
        <v>89</v>
      </c>
      <c r="F10" s="309">
        <v>8</v>
      </c>
      <c r="G10" s="308">
        <f t="shared" si="1"/>
        <v>712</v>
      </c>
      <c r="H10" s="310">
        <v>0</v>
      </c>
      <c r="I10" s="311">
        <f t="shared" si="2"/>
        <v>712</v>
      </c>
      <c r="J10" s="311">
        <v>0</v>
      </c>
      <c r="K10" s="311">
        <f t="shared" si="3"/>
        <v>712</v>
      </c>
      <c r="L10" s="322" t="s">
        <v>268</v>
      </c>
      <c r="O10" s="313"/>
    </row>
    <row r="11" spans="1:22" ht="25" x14ac:dyDescent="0.3">
      <c r="A11" s="305" t="s">
        <v>232</v>
      </c>
      <c r="B11" s="306" t="s">
        <v>233</v>
      </c>
      <c r="C11" s="307">
        <f>1810*0.7</f>
        <v>1267</v>
      </c>
      <c r="D11" s="307">
        <v>1</v>
      </c>
      <c r="E11" s="308">
        <f t="shared" si="0"/>
        <v>1267</v>
      </c>
      <c r="F11" s="309">
        <v>1</v>
      </c>
      <c r="G11" s="308">
        <f t="shared" si="1"/>
        <v>1267</v>
      </c>
      <c r="H11" s="310">
        <v>0</v>
      </c>
      <c r="I11" s="311">
        <f t="shared" si="2"/>
        <v>1267</v>
      </c>
      <c r="J11" s="311">
        <v>0</v>
      </c>
      <c r="K11" s="311">
        <f t="shared" si="3"/>
        <v>1267</v>
      </c>
      <c r="L11" s="322" t="s">
        <v>234</v>
      </c>
      <c r="O11" s="313"/>
    </row>
    <row r="12" spans="1:22" ht="25" x14ac:dyDescent="0.3">
      <c r="A12" s="305" t="s">
        <v>73</v>
      </c>
      <c r="B12" s="306" t="s">
        <v>74</v>
      </c>
      <c r="C12" s="307">
        <v>79</v>
      </c>
      <c r="D12" s="307">
        <f>2*((37417-150)/79)</f>
        <v>943.46835443037969</v>
      </c>
      <c r="E12" s="308">
        <f t="shared" si="0"/>
        <v>74534</v>
      </c>
      <c r="F12" s="309">
        <v>2</v>
      </c>
      <c r="G12" s="308">
        <f t="shared" si="1"/>
        <v>149068</v>
      </c>
      <c r="H12" s="310">
        <v>149668</v>
      </c>
      <c r="I12" s="311">
        <f>G12-H12</f>
        <v>-600</v>
      </c>
      <c r="J12" s="311">
        <v>0</v>
      </c>
      <c r="K12" s="311">
        <f t="shared" si="3"/>
        <v>-600</v>
      </c>
      <c r="L12" s="323" t="s">
        <v>235</v>
      </c>
      <c r="M12" s="313"/>
      <c r="O12" s="313"/>
    </row>
    <row r="13" spans="1:22" ht="28" x14ac:dyDescent="0.3">
      <c r="A13" s="305" t="s">
        <v>82</v>
      </c>
      <c r="B13" s="306" t="s">
        <v>253</v>
      </c>
      <c r="C13" s="307">
        <v>89</v>
      </c>
      <c r="D13" s="307">
        <f>(0.33*(37417-150))/89</f>
        <v>138.18101123595505</v>
      </c>
      <c r="E13" s="308">
        <f t="shared" si="0"/>
        <v>12298.11</v>
      </c>
      <c r="F13" s="309">
        <v>0.66800000000000004</v>
      </c>
      <c r="G13" s="308">
        <f>E13*F13</f>
        <v>8215.1374800000012</v>
      </c>
      <c r="H13" s="310">
        <v>8248.2034800000001</v>
      </c>
      <c r="I13" s="311">
        <f t="shared" si="2"/>
        <v>-33.065999999998894</v>
      </c>
      <c r="J13" s="311">
        <v>0</v>
      </c>
      <c r="K13" s="311">
        <f t="shared" si="3"/>
        <v>-33.065999999998894</v>
      </c>
      <c r="L13" s="323" t="s">
        <v>235</v>
      </c>
      <c r="M13" s="313"/>
      <c r="O13" s="313"/>
    </row>
    <row r="14" spans="1:22" ht="25" x14ac:dyDescent="0.3">
      <c r="A14" s="305" t="s">
        <v>84</v>
      </c>
      <c r="B14" s="306" t="s">
        <v>86</v>
      </c>
      <c r="C14" s="311">
        <v>89</v>
      </c>
      <c r="D14" s="307">
        <f>((37417-150)/89)</f>
        <v>418.7303370786517</v>
      </c>
      <c r="E14" s="308">
        <f t="shared" si="0"/>
        <v>37267</v>
      </c>
      <c r="F14" s="309">
        <v>2</v>
      </c>
      <c r="G14" s="308">
        <f t="shared" si="1"/>
        <v>74534</v>
      </c>
      <c r="H14" s="310">
        <v>74834</v>
      </c>
      <c r="I14" s="311">
        <f t="shared" si="2"/>
        <v>-300</v>
      </c>
      <c r="J14" s="311">
        <v>0</v>
      </c>
      <c r="K14" s="311">
        <f t="shared" si="3"/>
        <v>-300</v>
      </c>
      <c r="L14" s="323" t="s">
        <v>235</v>
      </c>
      <c r="M14" s="313"/>
      <c r="O14" s="313"/>
    </row>
    <row r="15" spans="1:22" ht="25" x14ac:dyDescent="0.3">
      <c r="A15" s="305" t="s">
        <v>87</v>
      </c>
      <c r="B15" s="306" t="s">
        <v>88</v>
      </c>
      <c r="C15" s="311">
        <v>89</v>
      </c>
      <c r="D15" s="307">
        <f>(0.05*(37417-150))/89</f>
        <v>20.936516853932584</v>
      </c>
      <c r="E15" s="308">
        <f t="shared" si="0"/>
        <v>1863.35</v>
      </c>
      <c r="F15" s="309">
        <v>1.3340000000000001</v>
      </c>
      <c r="G15" s="308">
        <f t="shared" si="1"/>
        <v>2485.7089000000001</v>
      </c>
      <c r="H15" s="310">
        <v>2495.7139000000002</v>
      </c>
      <c r="I15" s="311">
        <f t="shared" si="2"/>
        <v>-10.005000000000109</v>
      </c>
      <c r="J15" s="311">
        <v>0</v>
      </c>
      <c r="K15" s="311">
        <f t="shared" si="3"/>
        <v>-10.005000000000109</v>
      </c>
      <c r="L15" s="323" t="s">
        <v>235</v>
      </c>
      <c r="M15" s="313"/>
      <c r="O15" s="313"/>
    </row>
    <row r="16" spans="1:22" ht="25.5" thickBot="1" x14ac:dyDescent="0.35">
      <c r="A16" s="305" t="s">
        <v>89</v>
      </c>
      <c r="B16" s="306" t="s">
        <v>90</v>
      </c>
      <c r="C16" s="311">
        <v>89</v>
      </c>
      <c r="D16" s="307">
        <f>((37417-150)*0.05)/89</f>
        <v>20.936516853932584</v>
      </c>
      <c r="E16" s="308">
        <f t="shared" si="0"/>
        <v>1863.35</v>
      </c>
      <c r="F16" s="309">
        <v>2.3340000000000001</v>
      </c>
      <c r="G16" s="308">
        <f t="shared" si="1"/>
        <v>4349.0589</v>
      </c>
      <c r="H16" s="310">
        <v>4366.5639000000001</v>
      </c>
      <c r="I16" s="311">
        <f>G16-H16</f>
        <v>-17.505000000000109</v>
      </c>
      <c r="J16" s="311">
        <v>0</v>
      </c>
      <c r="K16" s="311">
        <f t="shared" si="3"/>
        <v>-17.505000000000109</v>
      </c>
      <c r="L16" s="323" t="s">
        <v>235</v>
      </c>
      <c r="M16" s="313"/>
      <c r="O16" s="313"/>
    </row>
    <row r="17" spans="1:15" ht="14.5" thickBot="1" x14ac:dyDescent="0.35">
      <c r="A17" s="448" t="s">
        <v>270</v>
      </c>
      <c r="B17" s="448"/>
      <c r="C17" s="324">
        <f>89+1267</f>
        <v>1356</v>
      </c>
      <c r="D17" s="324">
        <f>E17/C17</f>
        <v>6541.898827433627</v>
      </c>
      <c r="E17" s="324">
        <f>SUM(E5:E16)</f>
        <v>8870814.8099999987</v>
      </c>
      <c r="F17" s="324">
        <f>G17/E17</f>
        <v>0.29909206891446771</v>
      </c>
      <c r="G17" s="324">
        <f>SUM(G5:G16)</f>
        <v>2653190.3544800002</v>
      </c>
      <c r="H17" s="325">
        <f>SUM(H5:H16)</f>
        <v>2067969.7912799998</v>
      </c>
      <c r="I17" s="324">
        <f>SUM(I5:I16)</f>
        <v>585220.56320000021</v>
      </c>
      <c r="J17" s="326">
        <f>SUM(J5:J16)</f>
        <v>0</v>
      </c>
      <c r="K17" s="327">
        <f>G17-H17</f>
        <v>585220.56320000044</v>
      </c>
      <c r="L17" s="328"/>
    </row>
    <row r="18" spans="1:15" ht="14.5" thickBot="1" x14ac:dyDescent="0.35">
      <c r="A18" s="434" t="s">
        <v>146</v>
      </c>
      <c r="B18" s="435"/>
      <c r="C18" s="435"/>
      <c r="D18" s="435"/>
      <c r="E18" s="435"/>
      <c r="F18" s="435"/>
      <c r="G18" s="435"/>
      <c r="H18" s="435"/>
      <c r="I18" s="435"/>
      <c r="J18" s="435"/>
      <c r="K18" s="435"/>
      <c r="L18" s="436"/>
      <c r="M18" s="313"/>
      <c r="N18" s="313"/>
    </row>
    <row r="19" spans="1:15" ht="24.75" customHeight="1" x14ac:dyDescent="0.3">
      <c r="A19" s="305" t="s">
        <v>40</v>
      </c>
      <c r="B19" s="306" t="s">
        <v>43</v>
      </c>
      <c r="C19" s="329">
        <v>1379126</v>
      </c>
      <c r="D19" s="307">
        <v>1</v>
      </c>
      <c r="E19" s="308">
        <f>C19*D19</f>
        <v>1379126</v>
      </c>
      <c r="F19" s="309">
        <v>0.46760000000000002</v>
      </c>
      <c r="G19" s="308">
        <f>E19*F19</f>
        <v>644879.31760000007</v>
      </c>
      <c r="H19" s="310">
        <v>575785.10499999998</v>
      </c>
      <c r="I19" s="330">
        <f t="shared" ref="I19:I22" si="4">G19-H19</f>
        <v>69094.212600000086</v>
      </c>
      <c r="J19" s="311">
        <v>0</v>
      </c>
      <c r="K19" s="311">
        <f>G19-H19</f>
        <v>69094.212600000086</v>
      </c>
      <c r="L19" s="321" t="s">
        <v>230</v>
      </c>
      <c r="M19" s="313"/>
      <c r="N19" s="313"/>
      <c r="O19" s="313"/>
    </row>
    <row r="20" spans="1:15" ht="24.75" customHeight="1" x14ac:dyDescent="0.3">
      <c r="A20" s="305" t="s">
        <v>40</v>
      </c>
      <c r="B20" s="306" t="s">
        <v>147</v>
      </c>
      <c r="C20" s="331">
        <v>3400090</v>
      </c>
      <c r="D20" s="307">
        <v>1</v>
      </c>
      <c r="E20" s="308">
        <f t="shared" ref="E20:E22" si="5">C20*D20</f>
        <v>3400090</v>
      </c>
      <c r="F20" s="309">
        <v>0.46760000000000002</v>
      </c>
      <c r="G20" s="308">
        <f t="shared" ref="G20:G22" si="6">E20*F20</f>
        <v>1589882.084</v>
      </c>
      <c r="H20" s="310">
        <v>1419537.575</v>
      </c>
      <c r="I20" s="330">
        <f t="shared" si="4"/>
        <v>170344.50900000008</v>
      </c>
      <c r="J20" s="311">
        <v>0</v>
      </c>
      <c r="K20" s="311">
        <f t="shared" ref="K20:K22" si="7">G20-H20</f>
        <v>170344.50900000008</v>
      </c>
      <c r="L20" s="321" t="s">
        <v>230</v>
      </c>
      <c r="M20" s="313"/>
      <c r="N20" s="313"/>
    </row>
    <row r="21" spans="1:15" ht="24.75" customHeight="1" x14ac:dyDescent="0.3">
      <c r="A21" s="305" t="s">
        <v>40</v>
      </c>
      <c r="B21" s="306" t="s">
        <v>45</v>
      </c>
      <c r="C21" s="329">
        <v>1464744</v>
      </c>
      <c r="D21" s="307">
        <v>1</v>
      </c>
      <c r="E21" s="308">
        <f t="shared" si="5"/>
        <v>1464744</v>
      </c>
      <c r="F21" s="309">
        <v>0.46760000000000002</v>
      </c>
      <c r="G21" s="308">
        <f t="shared" si="6"/>
        <v>684914.29440000001</v>
      </c>
      <c r="H21" s="310">
        <v>611530.62</v>
      </c>
      <c r="I21" s="330">
        <f t="shared" si="4"/>
        <v>73383.674400000018</v>
      </c>
      <c r="J21" s="311">
        <v>0</v>
      </c>
      <c r="K21" s="311">
        <f t="shared" si="7"/>
        <v>73383.674400000018</v>
      </c>
      <c r="L21" s="321" t="s">
        <v>230</v>
      </c>
      <c r="M21" s="313"/>
      <c r="N21" s="313"/>
    </row>
    <row r="22" spans="1:15" ht="24.75" customHeight="1" thickBot="1" x14ac:dyDescent="0.35">
      <c r="A22" s="305" t="s">
        <v>40</v>
      </c>
      <c r="B22" s="306" t="s">
        <v>228</v>
      </c>
      <c r="C22" s="329">
        <v>6243960</v>
      </c>
      <c r="D22" s="307">
        <v>1</v>
      </c>
      <c r="E22" s="308">
        <f t="shared" si="5"/>
        <v>6243960</v>
      </c>
      <c r="F22" s="309">
        <v>8.3500000000000005E-2</v>
      </c>
      <c r="G22" s="308">
        <f t="shared" si="6"/>
        <v>521370.66000000003</v>
      </c>
      <c r="H22" s="310">
        <v>0</v>
      </c>
      <c r="I22" s="330">
        <f t="shared" si="4"/>
        <v>521370.66000000003</v>
      </c>
      <c r="J22" s="311">
        <v>0</v>
      </c>
      <c r="K22" s="311">
        <f t="shared" si="7"/>
        <v>521370.66000000003</v>
      </c>
      <c r="L22" s="321" t="s">
        <v>229</v>
      </c>
      <c r="M22" s="313"/>
      <c r="N22" s="313"/>
    </row>
    <row r="23" spans="1:15" ht="14.5" thickBot="1" x14ac:dyDescent="0.35">
      <c r="A23" s="411" t="s">
        <v>271</v>
      </c>
      <c r="B23" s="442"/>
      <c r="C23" s="332">
        <f>C19+C20+C21</f>
        <v>6243960</v>
      </c>
      <c r="D23" s="324">
        <f>E23/C23</f>
        <v>2</v>
      </c>
      <c r="E23" s="324">
        <f>SUM(E19:E22)</f>
        <v>12487920</v>
      </c>
      <c r="F23" s="324">
        <f>G23/E23</f>
        <v>0.27555000000000002</v>
      </c>
      <c r="G23" s="324">
        <f>SUM(G19:G22)</f>
        <v>3441046.3560000001</v>
      </c>
      <c r="H23" s="325">
        <f>SUM(H19:H22)</f>
        <v>2606853.2999999998</v>
      </c>
      <c r="I23" s="324">
        <f>SUM(I19:I22)</f>
        <v>834193.05600000022</v>
      </c>
      <c r="J23" s="324">
        <f>SUM(J19:J22)</f>
        <v>0</v>
      </c>
      <c r="K23" s="333">
        <f>SUM(K19:K22)</f>
        <v>834193.05600000022</v>
      </c>
      <c r="L23" s="328"/>
    </row>
    <row r="24" spans="1:15" ht="14.5" thickBot="1" x14ac:dyDescent="0.35">
      <c r="A24" s="434" t="s">
        <v>159</v>
      </c>
      <c r="B24" s="435"/>
      <c r="C24" s="435"/>
      <c r="D24" s="435"/>
      <c r="E24" s="435"/>
      <c r="F24" s="435"/>
      <c r="G24" s="435"/>
      <c r="H24" s="435"/>
      <c r="I24" s="435"/>
      <c r="J24" s="435"/>
      <c r="K24" s="435"/>
      <c r="L24" s="436"/>
    </row>
    <row r="25" spans="1:15" ht="32.25" customHeight="1" x14ac:dyDescent="0.3">
      <c r="A25" s="305" t="s">
        <v>40</v>
      </c>
      <c r="B25" s="306" t="s">
        <v>43</v>
      </c>
      <c r="C25" s="334">
        <f>1810*0.3</f>
        <v>543</v>
      </c>
      <c r="D25" s="335">
        <f>(0.3*1379126)/543</f>
        <v>761.9480662983425</v>
      </c>
      <c r="E25" s="336">
        <f t="shared" ref="E25:E32" si="8">C25*D25</f>
        <v>413737.8</v>
      </c>
      <c r="F25" s="309">
        <v>0.46760000000000002</v>
      </c>
      <c r="G25" s="337">
        <f t="shared" ref="G25:G33" si="9">E25*F25</f>
        <v>193463.79527999999</v>
      </c>
      <c r="H25" s="338">
        <v>172735.53149999998</v>
      </c>
      <c r="I25" s="339">
        <f>G25-H25</f>
        <v>20728.263780000008</v>
      </c>
      <c r="J25" s="339">
        <v>0</v>
      </c>
      <c r="K25" s="339">
        <f t="shared" ref="K25:K33" si="10">G25-H25</f>
        <v>20728.263780000008</v>
      </c>
      <c r="L25" s="321" t="s">
        <v>230</v>
      </c>
      <c r="M25" s="313"/>
    </row>
    <row r="26" spans="1:15" ht="32.25" customHeight="1" x14ac:dyDescent="0.3">
      <c r="A26" s="305" t="s">
        <v>40</v>
      </c>
      <c r="B26" s="306" t="s">
        <v>147</v>
      </c>
      <c r="C26" s="334">
        <f>1810*0.3</f>
        <v>543</v>
      </c>
      <c r="D26" s="335">
        <f>(0.3*3400090)/543</f>
        <v>1878.5027624309391</v>
      </c>
      <c r="E26" s="336">
        <f t="shared" si="8"/>
        <v>1020027</v>
      </c>
      <c r="F26" s="309">
        <v>0.46760000000000002</v>
      </c>
      <c r="G26" s="337">
        <f t="shared" si="9"/>
        <v>476964.62520000001</v>
      </c>
      <c r="H26" s="338">
        <v>425861.27249999996</v>
      </c>
      <c r="I26" s="339">
        <f t="shared" ref="I26:I31" si="11">G26-H26</f>
        <v>51103.352700000047</v>
      </c>
      <c r="J26" s="339">
        <v>0</v>
      </c>
      <c r="K26" s="339">
        <f t="shared" si="10"/>
        <v>51103.352700000047</v>
      </c>
      <c r="L26" s="321" t="s">
        <v>230</v>
      </c>
      <c r="M26" s="313"/>
    </row>
    <row r="27" spans="1:15" ht="32.25" customHeight="1" x14ac:dyDescent="0.3">
      <c r="A27" s="305" t="s">
        <v>40</v>
      </c>
      <c r="B27" s="306" t="s">
        <v>45</v>
      </c>
      <c r="C27" s="334">
        <f>1810*0.3</f>
        <v>543</v>
      </c>
      <c r="D27" s="335">
        <f>(1*0.3*1464744)/543</f>
        <v>809.25082872928181</v>
      </c>
      <c r="E27" s="336">
        <f t="shared" si="8"/>
        <v>439423.2</v>
      </c>
      <c r="F27" s="309">
        <v>0.46760000000000002</v>
      </c>
      <c r="G27" s="337">
        <f t="shared" si="9"/>
        <v>205474.28832000002</v>
      </c>
      <c r="H27" s="338">
        <v>183459.18599999999</v>
      </c>
      <c r="I27" s="339">
        <f t="shared" si="11"/>
        <v>22015.102320000035</v>
      </c>
      <c r="J27" s="339">
        <v>0</v>
      </c>
      <c r="K27" s="339">
        <f t="shared" si="10"/>
        <v>22015.102320000035</v>
      </c>
      <c r="L27" s="321" t="s">
        <v>230</v>
      </c>
      <c r="M27" s="313"/>
    </row>
    <row r="28" spans="1:15" ht="25" x14ac:dyDescent="0.3">
      <c r="A28" s="305" t="s">
        <v>40</v>
      </c>
      <c r="B28" s="306" t="s">
        <v>228</v>
      </c>
      <c r="C28" s="334">
        <f>1810*0.3</f>
        <v>543</v>
      </c>
      <c r="D28" s="335">
        <f>(0.3*6243960)/543</f>
        <v>3449.7016574585637</v>
      </c>
      <c r="E28" s="336">
        <f t="shared" si="8"/>
        <v>1873188</v>
      </c>
      <c r="F28" s="309">
        <v>8.3500000000000005E-2</v>
      </c>
      <c r="G28" s="337">
        <f t="shared" si="9"/>
        <v>156411.198</v>
      </c>
      <c r="H28" s="338">
        <v>0</v>
      </c>
      <c r="I28" s="339">
        <f t="shared" si="11"/>
        <v>156411.198</v>
      </c>
      <c r="J28" s="339">
        <v>0</v>
      </c>
      <c r="K28" s="339">
        <f t="shared" si="10"/>
        <v>156411.198</v>
      </c>
      <c r="L28" s="321" t="s">
        <v>229</v>
      </c>
      <c r="M28" s="313"/>
    </row>
    <row r="29" spans="1:15" ht="25" x14ac:dyDescent="0.3">
      <c r="A29" s="305" t="s">
        <v>232</v>
      </c>
      <c r="B29" s="306" t="s">
        <v>233</v>
      </c>
      <c r="C29" s="334">
        <f>1810*0.3</f>
        <v>543</v>
      </c>
      <c r="D29" s="340">
        <v>1</v>
      </c>
      <c r="E29" s="336">
        <f t="shared" si="8"/>
        <v>543</v>
      </c>
      <c r="F29" s="309">
        <v>1</v>
      </c>
      <c r="G29" s="337">
        <f t="shared" si="9"/>
        <v>543</v>
      </c>
      <c r="H29" s="338">
        <v>0</v>
      </c>
      <c r="I29" s="339">
        <f t="shared" si="11"/>
        <v>543</v>
      </c>
      <c r="J29" s="339">
        <v>0</v>
      </c>
      <c r="K29" s="339">
        <f t="shared" si="10"/>
        <v>543</v>
      </c>
      <c r="L29" s="322" t="s">
        <v>237</v>
      </c>
    </row>
    <row r="30" spans="1:15" ht="25" x14ac:dyDescent="0.3">
      <c r="A30" s="305" t="s">
        <v>73</v>
      </c>
      <c r="B30" s="306" t="s">
        <v>74</v>
      </c>
      <c r="C30" s="307">
        <f>(79/89)*(37417-150)</f>
        <v>33079.696629213482</v>
      </c>
      <c r="D30" s="340">
        <v>2</v>
      </c>
      <c r="E30" s="308">
        <f t="shared" si="8"/>
        <v>66159.393258426964</v>
      </c>
      <c r="F30" s="309">
        <v>2</v>
      </c>
      <c r="G30" s="308">
        <f t="shared" si="9"/>
        <v>132318.78651685393</v>
      </c>
      <c r="H30" s="310">
        <v>132851.37078651684</v>
      </c>
      <c r="I30" s="311">
        <f>G30-H30</f>
        <v>-532.58426966291154</v>
      </c>
      <c r="J30" s="339">
        <v>0</v>
      </c>
      <c r="K30" s="339">
        <f t="shared" si="10"/>
        <v>-532.58426966291154</v>
      </c>
      <c r="L30" s="321" t="s">
        <v>235</v>
      </c>
    </row>
    <row r="31" spans="1:15" ht="25" x14ac:dyDescent="0.3">
      <c r="A31" s="305" t="s">
        <v>82</v>
      </c>
      <c r="B31" s="306" t="s">
        <v>186</v>
      </c>
      <c r="C31" s="307">
        <f>0.33*(37417-150)</f>
        <v>12298.11</v>
      </c>
      <c r="D31" s="307">
        <v>1</v>
      </c>
      <c r="E31" s="308">
        <f t="shared" si="8"/>
        <v>12298.11</v>
      </c>
      <c r="F31" s="309">
        <v>1</v>
      </c>
      <c r="G31" s="308">
        <f t="shared" si="9"/>
        <v>12298.11</v>
      </c>
      <c r="H31" s="310">
        <v>12347.61</v>
      </c>
      <c r="I31" s="311">
        <f t="shared" si="11"/>
        <v>-49.5</v>
      </c>
      <c r="J31" s="339">
        <v>0</v>
      </c>
      <c r="K31" s="339">
        <f t="shared" si="10"/>
        <v>-49.5</v>
      </c>
      <c r="L31" s="321" t="s">
        <v>235</v>
      </c>
      <c r="M31" s="313"/>
    </row>
    <row r="32" spans="1:15" ht="25" x14ac:dyDescent="0.3">
      <c r="A32" s="352" t="s">
        <v>164</v>
      </c>
      <c r="B32" s="306" t="s">
        <v>165</v>
      </c>
      <c r="C32" s="307">
        <f>37417-150</f>
        <v>37267</v>
      </c>
      <c r="D32" s="307">
        <v>1</v>
      </c>
      <c r="E32" s="308">
        <f t="shared" si="8"/>
        <v>37267</v>
      </c>
      <c r="F32" s="309">
        <v>1</v>
      </c>
      <c r="G32" s="308">
        <f t="shared" si="9"/>
        <v>37267</v>
      </c>
      <c r="H32" s="310">
        <v>37417</v>
      </c>
      <c r="I32" s="311">
        <f>G32-H32</f>
        <v>-150</v>
      </c>
      <c r="J32" s="339">
        <v>0</v>
      </c>
      <c r="K32" s="339">
        <f t="shared" si="10"/>
        <v>-150</v>
      </c>
      <c r="L32" s="321" t="s">
        <v>235</v>
      </c>
    </row>
    <row r="33" spans="1:15" ht="25.5" thickBot="1" x14ac:dyDescent="0.35">
      <c r="A33" s="379" t="s">
        <v>168</v>
      </c>
      <c r="B33" s="341" t="s">
        <v>169</v>
      </c>
      <c r="C33" s="307">
        <f>37417-150</f>
        <v>37267</v>
      </c>
      <c r="D33" s="307">
        <v>1</v>
      </c>
      <c r="E33" s="308">
        <f>C33*D33</f>
        <v>37267</v>
      </c>
      <c r="F33" s="309">
        <v>2</v>
      </c>
      <c r="G33" s="308">
        <f t="shared" si="9"/>
        <v>74534</v>
      </c>
      <c r="H33" s="310">
        <v>74834</v>
      </c>
      <c r="I33" s="311">
        <f>G33-H33</f>
        <v>-300</v>
      </c>
      <c r="J33" s="339">
        <v>0</v>
      </c>
      <c r="K33" s="339">
        <f t="shared" si="10"/>
        <v>-300</v>
      </c>
      <c r="L33" s="321" t="s">
        <v>235</v>
      </c>
      <c r="O33" s="313"/>
    </row>
    <row r="34" spans="1:15" ht="14.5" thickBot="1" x14ac:dyDescent="0.35">
      <c r="A34" s="397" t="s">
        <v>272</v>
      </c>
      <c r="B34" s="432"/>
      <c r="C34" s="342">
        <f>(37417-150)+543</f>
        <v>37810</v>
      </c>
      <c r="D34" s="343">
        <f>+E34/C34</f>
        <v>103.1449485125212</v>
      </c>
      <c r="E34" s="343">
        <f>SUM(E25:E33)</f>
        <v>3899910.5032584267</v>
      </c>
      <c r="F34" s="344">
        <f>+G34/E34</f>
        <v>0.33059086926216585</v>
      </c>
      <c r="G34" s="342">
        <f>SUM(G25:G33)</f>
        <v>1289274.8033168539</v>
      </c>
      <c r="H34" s="345">
        <f>SUM(H25:H33)</f>
        <v>1039505.9707865168</v>
      </c>
      <c r="I34" s="344">
        <f>SUM(I25:I33)</f>
        <v>249768.83253033718</v>
      </c>
      <c r="J34" s="342">
        <f>SUM(J25:J33)</f>
        <v>0</v>
      </c>
      <c r="K34" s="343">
        <f>G34-H34</f>
        <v>249768.83253033715</v>
      </c>
      <c r="L34" s="328"/>
    </row>
    <row r="35" spans="1:15" ht="14.5" thickBot="1" x14ac:dyDescent="0.35">
      <c r="A35" s="432" t="s">
        <v>179</v>
      </c>
      <c r="B35" s="432"/>
      <c r="C35" s="346">
        <f>SUM(C17,C23,C34)</f>
        <v>6283126</v>
      </c>
      <c r="D35" s="347">
        <f>E35/C35</f>
        <v>4.0200762030330797</v>
      </c>
      <c r="E35" s="346">
        <f>SUM(E17,E23,E34)</f>
        <v>25258645.313258424</v>
      </c>
      <c r="F35" s="348">
        <f>+G35/E35</f>
        <v>0.29231621182475698</v>
      </c>
      <c r="G35" s="346">
        <f>SUM(G17+G23+G34)</f>
        <v>7383511.5137968548</v>
      </c>
      <c r="H35" s="349">
        <f>SUM(H34+H23+H17)</f>
        <v>5714329.0620665159</v>
      </c>
      <c r="I35" s="348">
        <f>SUM(I17,I23,I34)</f>
        <v>1669182.4517303377</v>
      </c>
      <c r="J35" s="342">
        <f>J34+J23+J17</f>
        <v>0</v>
      </c>
      <c r="K35" s="350">
        <f>K34+K23+K17</f>
        <v>1669182.4517303377</v>
      </c>
      <c r="L35" s="351"/>
    </row>
    <row r="36" spans="1:15" x14ac:dyDescent="0.3">
      <c r="A36" s="437" t="s">
        <v>180</v>
      </c>
      <c r="B36" s="437"/>
      <c r="C36" s="437"/>
      <c r="D36" s="437"/>
      <c r="E36" s="437"/>
      <c r="F36" s="437"/>
      <c r="G36" s="437"/>
      <c r="H36" s="437"/>
      <c r="I36" s="437"/>
      <c r="J36" s="437"/>
      <c r="K36" s="437"/>
      <c r="L36" s="438"/>
    </row>
    <row r="37" spans="1:15" x14ac:dyDescent="0.3">
      <c r="A37" s="439" t="s">
        <v>23</v>
      </c>
      <c r="B37" s="439"/>
      <c r="C37" s="439"/>
      <c r="D37" s="439"/>
      <c r="E37" s="439"/>
      <c r="F37" s="439"/>
      <c r="G37" s="439"/>
      <c r="H37" s="439"/>
      <c r="I37" s="439"/>
      <c r="J37" s="439"/>
      <c r="K37" s="439"/>
      <c r="L37" s="440"/>
    </row>
    <row r="38" spans="1:15" ht="25" x14ac:dyDescent="0.3">
      <c r="A38" s="352" t="s">
        <v>185</v>
      </c>
      <c r="B38" s="306" t="s">
        <v>186</v>
      </c>
      <c r="C38" s="307">
        <v>89</v>
      </c>
      <c r="D38" s="307">
        <f>(((37417-150)*0.33)/89)</f>
        <v>138.18101123595505</v>
      </c>
      <c r="E38" s="353">
        <f t="shared" ref="E38:E40" si="12">C38*D38</f>
        <v>12298.11</v>
      </c>
      <c r="F38" s="354">
        <v>1</v>
      </c>
      <c r="G38" s="353">
        <f t="shared" ref="G38:G40" si="13">E38*F38</f>
        <v>12298.11</v>
      </c>
      <c r="H38" s="310">
        <v>12347.609999999999</v>
      </c>
      <c r="I38" s="355">
        <f t="shared" ref="I38" si="14">G38-H38</f>
        <v>-49.499999999998181</v>
      </c>
      <c r="J38" s="356">
        <v>0</v>
      </c>
      <c r="K38" s="356">
        <f t="shared" ref="K38:K40" si="15">G38-H38</f>
        <v>-49.499999999998181</v>
      </c>
      <c r="L38" s="323" t="s">
        <v>235</v>
      </c>
      <c r="M38" s="313"/>
    </row>
    <row r="39" spans="1:15" ht="25" x14ac:dyDescent="0.3">
      <c r="A39" s="305" t="s">
        <v>189</v>
      </c>
      <c r="B39" s="306" t="s">
        <v>88</v>
      </c>
      <c r="C39" s="307">
        <v>89</v>
      </c>
      <c r="D39" s="307">
        <f>((37417-150)/89)*0.05</f>
        <v>20.936516853932588</v>
      </c>
      <c r="E39" s="353">
        <f t="shared" si="12"/>
        <v>1863.3500000000004</v>
      </c>
      <c r="F39" s="354">
        <v>0.5</v>
      </c>
      <c r="G39" s="353">
        <f t="shared" si="13"/>
        <v>931.67500000000018</v>
      </c>
      <c r="H39" s="310">
        <v>935.42499999999995</v>
      </c>
      <c r="I39" s="355">
        <f>G39-H39</f>
        <v>-3.7499999999997726</v>
      </c>
      <c r="J39" s="355">
        <v>0</v>
      </c>
      <c r="K39" s="355">
        <f t="shared" si="15"/>
        <v>-3.7499999999997726</v>
      </c>
      <c r="L39" s="323" t="s">
        <v>235</v>
      </c>
      <c r="M39" s="313"/>
    </row>
    <row r="40" spans="1:15" ht="25.5" thickBot="1" x14ac:dyDescent="0.35">
      <c r="A40" s="305" t="s">
        <v>190</v>
      </c>
      <c r="B40" s="306" t="s">
        <v>191</v>
      </c>
      <c r="C40" s="307">
        <v>89</v>
      </c>
      <c r="D40" s="307">
        <f>((37417-150)/89)*0.05</f>
        <v>20.936516853932588</v>
      </c>
      <c r="E40" s="353">
        <f t="shared" si="12"/>
        <v>1863.3500000000004</v>
      </c>
      <c r="F40" s="354">
        <v>2</v>
      </c>
      <c r="G40" s="353">
        <f t="shared" si="13"/>
        <v>3726.7000000000007</v>
      </c>
      <c r="H40" s="310">
        <v>3741.7</v>
      </c>
      <c r="I40" s="355">
        <f>G40-H40</f>
        <v>-14.999999999999091</v>
      </c>
      <c r="J40" s="355">
        <v>0</v>
      </c>
      <c r="K40" s="355">
        <f t="shared" si="15"/>
        <v>-14.999999999999091</v>
      </c>
      <c r="L40" s="323" t="s">
        <v>235</v>
      </c>
      <c r="M40" s="313"/>
    </row>
    <row r="41" spans="1:15" ht="14.5" thickBot="1" x14ac:dyDescent="0.35">
      <c r="A41" s="396" t="s">
        <v>273</v>
      </c>
      <c r="B41" s="441"/>
      <c r="C41" s="357">
        <v>89</v>
      </c>
      <c r="D41" s="358">
        <f>+E41/C41</f>
        <v>180.05404494382023</v>
      </c>
      <c r="E41" s="348">
        <f>SUM(E38:E40)</f>
        <v>16024.810000000001</v>
      </c>
      <c r="F41" s="358">
        <f>+G41/E41</f>
        <v>1.0581395348837208</v>
      </c>
      <c r="G41" s="348">
        <f>SUM(G38:G40)</f>
        <v>16956.485000000001</v>
      </c>
      <c r="H41" s="359">
        <f>SUM(H38:H40)</f>
        <v>17024.734999999997</v>
      </c>
      <c r="I41" s="348">
        <f>SUM(I38:I40)</f>
        <v>-68.249999999997044</v>
      </c>
      <c r="J41" s="348">
        <f>SUM(J38:J40)</f>
        <v>0</v>
      </c>
      <c r="K41" s="348">
        <f>SUM(K38:K40)</f>
        <v>-68.249999999997044</v>
      </c>
      <c r="L41" s="360"/>
    </row>
    <row r="42" spans="1:15" ht="14.5" thickBot="1" x14ac:dyDescent="0.35">
      <c r="A42" s="430" t="s">
        <v>159</v>
      </c>
      <c r="B42" s="430"/>
      <c r="C42" s="430"/>
      <c r="D42" s="430"/>
      <c r="E42" s="430"/>
      <c r="F42" s="430"/>
      <c r="G42" s="430"/>
      <c r="H42" s="430"/>
      <c r="I42" s="430"/>
      <c r="J42" s="430"/>
      <c r="K42" s="430"/>
      <c r="L42" s="431"/>
    </row>
    <row r="43" spans="1:15" ht="25.5" thickBot="1" x14ac:dyDescent="0.35">
      <c r="A43" s="352" t="s">
        <v>204</v>
      </c>
      <c r="B43" s="306" t="s">
        <v>205</v>
      </c>
      <c r="C43" s="307">
        <f>37417-150</f>
        <v>37267</v>
      </c>
      <c r="D43" s="307">
        <v>1</v>
      </c>
      <c r="E43" s="353">
        <f t="shared" ref="E43" si="16">C43*D43</f>
        <v>37267</v>
      </c>
      <c r="F43" s="354">
        <v>0.16700000000000001</v>
      </c>
      <c r="G43" s="353">
        <f t="shared" ref="G43" si="17">E43*F43</f>
        <v>6223.5889999999999</v>
      </c>
      <c r="H43" s="310">
        <v>6248.6390000000001</v>
      </c>
      <c r="I43" s="311">
        <f t="shared" ref="I43" si="18">G43-H43</f>
        <v>-25.050000000000182</v>
      </c>
      <c r="J43" s="311">
        <v>0</v>
      </c>
      <c r="K43" s="361">
        <f t="shared" ref="K43" si="19">G43-H43</f>
        <v>-25.050000000000182</v>
      </c>
      <c r="L43" s="323" t="s">
        <v>235</v>
      </c>
    </row>
    <row r="44" spans="1:15" ht="14.5" thickBot="1" x14ac:dyDescent="0.35">
      <c r="A44" s="397" t="s">
        <v>274</v>
      </c>
      <c r="B44" s="432"/>
      <c r="C44" s="348">
        <f>C43</f>
        <v>37267</v>
      </c>
      <c r="D44" s="358">
        <f>E44/C44</f>
        <v>1</v>
      </c>
      <c r="E44" s="348">
        <f>SUM(E43:E43)</f>
        <v>37267</v>
      </c>
      <c r="F44" s="358">
        <f>G44/E44</f>
        <v>0.16700000000000001</v>
      </c>
      <c r="G44" s="348">
        <f>SUM(G43:G43)</f>
        <v>6223.5889999999999</v>
      </c>
      <c r="H44" s="359">
        <f>SUM(H43:H43)</f>
        <v>6248.6390000000001</v>
      </c>
      <c r="I44" s="348">
        <f>SUM(I43:I43)</f>
        <v>-25.050000000000182</v>
      </c>
      <c r="J44" s="348">
        <f>SUM(J43:J43)</f>
        <v>0</v>
      </c>
      <c r="K44" s="348">
        <f>SUM(K43:K43)</f>
        <v>-25.050000000000182</v>
      </c>
      <c r="L44" s="360"/>
    </row>
    <row r="45" spans="1:15" ht="14.5" thickBot="1" x14ac:dyDescent="0.35">
      <c r="A45" s="432" t="s">
        <v>207</v>
      </c>
      <c r="B45" s="433"/>
      <c r="C45" s="348">
        <f>C44+C41</f>
        <v>37356</v>
      </c>
      <c r="D45" s="358">
        <f>+E45/C45</f>
        <v>1.4265930506478208</v>
      </c>
      <c r="E45" s="348">
        <f>E44+E41</f>
        <v>53291.81</v>
      </c>
      <c r="F45" s="358">
        <f>G45/E45</f>
        <v>0.43496503496503497</v>
      </c>
      <c r="G45" s="348">
        <f>G44+G41</f>
        <v>23180.074000000001</v>
      </c>
      <c r="H45" s="359">
        <f>H44+H41</f>
        <v>23273.373999999996</v>
      </c>
      <c r="I45" s="348">
        <f>I44+I41</f>
        <v>-93.299999999997226</v>
      </c>
      <c r="J45" s="348">
        <f>J44+J41</f>
        <v>0</v>
      </c>
      <c r="K45" s="348">
        <f>K44+K41</f>
        <v>-93.299999999997226</v>
      </c>
      <c r="L45" s="360"/>
    </row>
    <row r="46" spans="1:15" ht="33.75" customHeight="1" thickBot="1" x14ac:dyDescent="0.35">
      <c r="A46" s="428" t="s">
        <v>213</v>
      </c>
      <c r="B46" s="429"/>
      <c r="C46" s="362">
        <f>C35</f>
        <v>6283126</v>
      </c>
      <c r="D46" s="362">
        <f>E46/C46</f>
        <v>4.0285579380802519</v>
      </c>
      <c r="E46" s="362">
        <f>E45+E35</f>
        <v>25311937.123258423</v>
      </c>
      <c r="F46" s="362">
        <f>G46/E46</f>
        <v>0.29261654498150025</v>
      </c>
      <c r="G46" s="362">
        <f>G45+G35</f>
        <v>7406691.5877968548</v>
      </c>
      <c r="H46" s="363">
        <f>H45+H35</f>
        <v>5737602.4360665157</v>
      </c>
      <c r="I46" s="362">
        <f>I45+I35</f>
        <v>1669089.1517303376</v>
      </c>
      <c r="J46" s="362">
        <f>J45+J35</f>
        <v>0</v>
      </c>
      <c r="K46" s="364">
        <f>G46-H46</f>
        <v>1669089.151730339</v>
      </c>
      <c r="L46" s="365"/>
      <c r="M46" s="313"/>
    </row>
    <row r="47" spans="1:15" ht="14.5" thickBot="1" x14ac:dyDescent="0.35"/>
    <row r="48" spans="1:15" ht="14.5" thickBot="1" x14ac:dyDescent="0.35">
      <c r="A48" s="421" t="s">
        <v>214</v>
      </c>
      <c r="B48" s="422"/>
      <c r="C48" s="422"/>
      <c r="D48" s="423"/>
      <c r="F48" s="367"/>
      <c r="G48" s="367"/>
    </row>
    <row r="49" spans="1:7" ht="14.5" thickBot="1" x14ac:dyDescent="0.35">
      <c r="A49" s="415" t="s">
        <v>215</v>
      </c>
      <c r="B49" s="416"/>
      <c r="C49" s="417">
        <f>+C35</f>
        <v>6283126</v>
      </c>
      <c r="D49" s="418"/>
      <c r="E49" s="368"/>
      <c r="F49" s="369"/>
      <c r="G49" s="370"/>
    </row>
    <row r="50" spans="1:7" ht="14.5" thickBot="1" x14ac:dyDescent="0.35">
      <c r="A50" s="424" t="s">
        <v>216</v>
      </c>
      <c r="B50" s="425"/>
      <c r="C50" s="426">
        <f>+C51/C49</f>
        <v>4.0200762030330797</v>
      </c>
      <c r="D50" s="427"/>
    </row>
    <row r="51" spans="1:7" ht="14.5" thickBot="1" x14ac:dyDescent="0.35">
      <c r="A51" s="415" t="s">
        <v>217</v>
      </c>
      <c r="B51" s="416"/>
      <c r="C51" s="417">
        <f>+E35</f>
        <v>25258645.313258424</v>
      </c>
      <c r="D51" s="418"/>
      <c r="F51" s="371"/>
    </row>
    <row r="52" spans="1:7" ht="14.5" thickBot="1" x14ac:dyDescent="0.35">
      <c r="A52" s="415" t="s">
        <v>218</v>
      </c>
      <c r="B52" s="416"/>
      <c r="C52" s="426">
        <f>+C53/C51</f>
        <v>0.29231621182475698</v>
      </c>
      <c r="D52" s="427"/>
      <c r="F52" s="372"/>
    </row>
    <row r="53" spans="1:7" ht="14.5" thickBot="1" x14ac:dyDescent="0.35">
      <c r="A53" s="415" t="s">
        <v>219</v>
      </c>
      <c r="B53" s="416"/>
      <c r="C53" s="417">
        <f>+G35</f>
        <v>7383511.5137968548</v>
      </c>
      <c r="D53" s="418"/>
      <c r="F53" s="373"/>
    </row>
    <row r="54" spans="1:7" ht="14.5" thickBot="1" x14ac:dyDescent="0.35">
      <c r="A54" s="415" t="s">
        <v>220</v>
      </c>
      <c r="B54" s="416"/>
      <c r="C54" s="417">
        <f>H35</f>
        <v>5714329.0620665159</v>
      </c>
      <c r="D54" s="418"/>
    </row>
    <row r="55" spans="1:7" ht="14.5" thickBot="1" x14ac:dyDescent="0.35">
      <c r="A55" s="419" t="s">
        <v>221</v>
      </c>
      <c r="B55" s="420"/>
      <c r="C55" s="417">
        <f>C53-C54</f>
        <v>1669182.4517303389</v>
      </c>
      <c r="D55" s="418"/>
    </row>
    <row r="57" spans="1:7" ht="14.5" thickBot="1" x14ac:dyDescent="0.35">
      <c r="A57" s="421" t="s">
        <v>222</v>
      </c>
      <c r="B57" s="422"/>
      <c r="C57" s="422"/>
      <c r="D57" s="423"/>
    </row>
    <row r="58" spans="1:7" ht="14.5" thickBot="1" x14ac:dyDescent="0.35">
      <c r="A58" s="415" t="s">
        <v>223</v>
      </c>
      <c r="B58" s="416"/>
      <c r="C58" s="417">
        <f>+C45</f>
        <v>37356</v>
      </c>
      <c r="D58" s="418"/>
    </row>
    <row r="59" spans="1:7" ht="14.5" thickBot="1" x14ac:dyDescent="0.35">
      <c r="A59" s="424" t="s">
        <v>216</v>
      </c>
      <c r="B59" s="425"/>
      <c r="C59" s="426">
        <f>+C60/C58</f>
        <v>1.4265930506478208</v>
      </c>
      <c r="D59" s="427"/>
    </row>
    <row r="60" spans="1:7" ht="14.5" thickBot="1" x14ac:dyDescent="0.35">
      <c r="A60" s="415" t="s">
        <v>217</v>
      </c>
      <c r="B60" s="416"/>
      <c r="C60" s="417">
        <f>+E45</f>
        <v>53291.81</v>
      </c>
      <c r="D60" s="418"/>
    </row>
    <row r="61" spans="1:7" ht="14.5" thickBot="1" x14ac:dyDescent="0.35">
      <c r="A61" s="415" t="s">
        <v>218</v>
      </c>
      <c r="B61" s="416"/>
      <c r="C61" s="426">
        <f>+C62/C60</f>
        <v>0.43496503496503497</v>
      </c>
      <c r="D61" s="427"/>
    </row>
    <row r="62" spans="1:7" ht="14.5" thickBot="1" x14ac:dyDescent="0.35">
      <c r="A62" s="415" t="s">
        <v>219</v>
      </c>
      <c r="B62" s="416"/>
      <c r="C62" s="417">
        <f>+G45</f>
        <v>23180.074000000001</v>
      </c>
      <c r="D62" s="418"/>
    </row>
    <row r="63" spans="1:7" ht="14.5" thickBot="1" x14ac:dyDescent="0.35">
      <c r="A63" s="415" t="s">
        <v>220</v>
      </c>
      <c r="B63" s="416"/>
      <c r="C63" s="417">
        <f>+H45</f>
        <v>23273.373999999996</v>
      </c>
      <c r="D63" s="418"/>
    </row>
    <row r="64" spans="1:7" ht="14.5" thickBot="1" x14ac:dyDescent="0.35">
      <c r="A64" s="419" t="s">
        <v>221</v>
      </c>
      <c r="B64" s="420"/>
      <c r="C64" s="417">
        <f>C62-C63</f>
        <v>-93.299999999995634</v>
      </c>
      <c r="D64" s="418"/>
    </row>
    <row r="65" spans="1:7" ht="14.5" thickBot="1" x14ac:dyDescent="0.35">
      <c r="A65" s="374"/>
      <c r="B65" s="375"/>
      <c r="C65" s="376"/>
      <c r="D65" s="376"/>
    </row>
    <row r="66" spans="1:7" ht="14.5" thickBot="1" x14ac:dyDescent="0.35">
      <c r="A66" s="421" t="s">
        <v>238</v>
      </c>
      <c r="B66" s="422"/>
      <c r="C66" s="422"/>
      <c r="D66" s="423"/>
    </row>
    <row r="67" spans="1:7" ht="14.5" thickBot="1" x14ac:dyDescent="0.35">
      <c r="A67" s="415" t="s">
        <v>250</v>
      </c>
      <c r="B67" s="416"/>
      <c r="C67" s="417">
        <f>C46</f>
        <v>6283126</v>
      </c>
      <c r="D67" s="418"/>
    </row>
    <row r="68" spans="1:7" ht="14.5" thickBot="1" x14ac:dyDescent="0.35">
      <c r="A68" s="415" t="s">
        <v>226</v>
      </c>
      <c r="B68" s="416"/>
      <c r="C68" s="417">
        <f>E46</f>
        <v>25311937.123258423</v>
      </c>
      <c r="D68" s="418"/>
      <c r="G68" s="377"/>
    </row>
    <row r="69" spans="1:7" ht="14.5" thickBot="1" x14ac:dyDescent="0.35">
      <c r="A69" s="415" t="s">
        <v>227</v>
      </c>
      <c r="B69" s="416"/>
      <c r="C69" s="417">
        <f>G46</f>
        <v>7406691.5877968548</v>
      </c>
      <c r="D69" s="418"/>
    </row>
    <row r="70" spans="1:7" ht="14.5" thickBot="1" x14ac:dyDescent="0.35">
      <c r="A70" s="415" t="s">
        <v>220</v>
      </c>
      <c r="B70" s="416"/>
      <c r="C70" s="417">
        <f>H46</f>
        <v>5737602.4360665157</v>
      </c>
      <c r="D70" s="418"/>
    </row>
    <row r="71" spans="1:7" ht="14.5" thickBot="1" x14ac:dyDescent="0.35">
      <c r="A71" s="419" t="s">
        <v>221</v>
      </c>
      <c r="B71" s="420"/>
      <c r="C71" s="417">
        <f>C69-C70</f>
        <v>1669089.151730339</v>
      </c>
      <c r="D71" s="418"/>
    </row>
  </sheetData>
  <mergeCells count="57">
    <mergeCell ref="A23:B23"/>
    <mergeCell ref="A1:L1"/>
    <mergeCell ref="A3:L3"/>
    <mergeCell ref="A4:L4"/>
    <mergeCell ref="A17:B17"/>
    <mergeCell ref="A18:L18"/>
    <mergeCell ref="A42:L42"/>
    <mergeCell ref="A44:B44"/>
    <mergeCell ref="A45:B45"/>
    <mergeCell ref="A24:L24"/>
    <mergeCell ref="A34:B34"/>
    <mergeCell ref="A35:B35"/>
    <mergeCell ref="A36:L36"/>
    <mergeCell ref="A37:L37"/>
    <mergeCell ref="A41:B41"/>
    <mergeCell ref="A46:B46"/>
    <mergeCell ref="A48:D48"/>
    <mergeCell ref="A49:B49"/>
    <mergeCell ref="C49:D49"/>
    <mergeCell ref="A50:B50"/>
    <mergeCell ref="C50:D50"/>
    <mergeCell ref="A58:B58"/>
    <mergeCell ref="C58:D58"/>
    <mergeCell ref="A51:B51"/>
    <mergeCell ref="C51:D51"/>
    <mergeCell ref="A52:B52"/>
    <mergeCell ref="C52:D52"/>
    <mergeCell ref="A53:B53"/>
    <mergeCell ref="C53:D53"/>
    <mergeCell ref="A54:B54"/>
    <mergeCell ref="C54:D54"/>
    <mergeCell ref="A55:B55"/>
    <mergeCell ref="C55:D55"/>
    <mergeCell ref="A57:D57"/>
    <mergeCell ref="A59:B59"/>
    <mergeCell ref="C59:D59"/>
    <mergeCell ref="A60:B60"/>
    <mergeCell ref="C60:D60"/>
    <mergeCell ref="A61:B61"/>
    <mergeCell ref="C61:D61"/>
    <mergeCell ref="A62:B62"/>
    <mergeCell ref="C62:D62"/>
    <mergeCell ref="A63:B63"/>
    <mergeCell ref="C63:D63"/>
    <mergeCell ref="A64:B64"/>
    <mergeCell ref="C64:D64"/>
    <mergeCell ref="A66:D66"/>
    <mergeCell ref="A67:B67"/>
    <mergeCell ref="C67:D67"/>
    <mergeCell ref="A68:B68"/>
    <mergeCell ref="C68:D68"/>
    <mergeCell ref="A69:B69"/>
    <mergeCell ref="C69:D69"/>
    <mergeCell ref="A70:B70"/>
    <mergeCell ref="C70:D70"/>
    <mergeCell ref="A71:B71"/>
    <mergeCell ref="C71:D7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50505-E445-44B4-8C20-40F0A3543730}">
  <dimension ref="A1:V177"/>
  <sheetViews>
    <sheetView topLeftCell="A86" workbookViewId="0">
      <selection activeCell="C118" sqref="C118"/>
    </sheetView>
  </sheetViews>
  <sheetFormatPr defaultColWidth="9.1796875" defaultRowHeight="14" x14ac:dyDescent="0.3"/>
  <cols>
    <col min="1" max="1" width="18.7265625" style="2" bestFit="1" customWidth="1"/>
    <col min="2" max="2" width="33.54296875" style="238" bestFit="1" customWidth="1"/>
    <col min="3" max="3" width="15.1796875" style="2" bestFit="1" customWidth="1"/>
    <col min="4" max="4" width="14.1796875" style="2" customWidth="1"/>
    <col min="5" max="5" width="17.7265625" style="2" customWidth="1"/>
    <col min="6" max="6" width="13.1796875" style="2" bestFit="1" customWidth="1"/>
    <col min="7" max="7" width="16.26953125" style="2" customWidth="1"/>
    <col min="8" max="8" width="15.54296875" style="2" bestFit="1" customWidth="1"/>
    <col min="9" max="9" width="15.7265625" style="14" customWidth="1"/>
    <col min="10" max="10" width="14" style="2" bestFit="1" customWidth="1"/>
    <col min="11" max="11" width="14" style="2" customWidth="1"/>
    <col min="12" max="12" width="57.453125" style="238" customWidth="1"/>
    <col min="13" max="13" width="42.453125" style="2" customWidth="1"/>
    <col min="14" max="14" width="28.1796875" style="2" customWidth="1"/>
    <col min="15" max="15" width="16.81640625" style="2" customWidth="1"/>
    <col min="16" max="16" width="17.81640625" style="2" customWidth="1"/>
    <col min="17" max="17" width="23.1796875" style="2" customWidth="1"/>
    <col min="18" max="18" width="17.7265625" style="2" customWidth="1"/>
    <col min="19" max="19" width="17.26953125" style="2" customWidth="1"/>
    <col min="20" max="20" width="16.453125" style="2" customWidth="1"/>
    <col min="21" max="21" width="13.453125" style="2" customWidth="1"/>
    <col min="22" max="22" width="14.1796875" style="2" customWidth="1"/>
    <col min="23" max="16384" width="9.1796875" style="2"/>
  </cols>
  <sheetData>
    <row r="1" spans="1:22" s="162" customFormat="1" ht="15" customHeight="1" thickBot="1" x14ac:dyDescent="0.35">
      <c r="A1" s="474" t="s">
        <v>0</v>
      </c>
      <c r="B1" s="474"/>
      <c r="C1" s="474"/>
      <c r="D1" s="474"/>
      <c r="E1" s="474"/>
      <c r="F1" s="474"/>
      <c r="G1" s="474"/>
      <c r="H1" s="474"/>
      <c r="I1" s="474"/>
      <c r="J1" s="474"/>
      <c r="K1" s="474"/>
      <c r="L1" s="474"/>
      <c r="N1" s="163" t="s">
        <v>1</v>
      </c>
      <c r="O1" s="164"/>
    </row>
    <row r="2" spans="1:22" s="162" customFormat="1" ht="93.75" customHeight="1" thickBot="1" x14ac:dyDescent="0.3">
      <c r="A2" s="165" t="s">
        <v>2</v>
      </c>
      <c r="B2" s="166" t="s">
        <v>3</v>
      </c>
      <c r="C2" s="34" t="s">
        <v>4</v>
      </c>
      <c r="D2" s="35" t="s">
        <v>5</v>
      </c>
      <c r="E2" s="36" t="s">
        <v>6</v>
      </c>
      <c r="F2" s="37" t="s">
        <v>7</v>
      </c>
      <c r="G2" s="38" t="s">
        <v>8</v>
      </c>
      <c r="H2" s="167" t="s">
        <v>9</v>
      </c>
      <c r="I2" s="168" t="s">
        <v>10</v>
      </c>
      <c r="J2" s="1" t="s">
        <v>11</v>
      </c>
      <c r="K2" s="1" t="s">
        <v>12</v>
      </c>
      <c r="L2" s="169" t="s">
        <v>13</v>
      </c>
      <c r="M2" s="170"/>
      <c r="N2" s="171" t="s">
        <v>14</v>
      </c>
      <c r="O2" s="42" t="s">
        <v>15</v>
      </c>
      <c r="P2" s="171" t="s">
        <v>16</v>
      </c>
      <c r="Q2" s="171" t="s">
        <v>17</v>
      </c>
      <c r="R2" s="171" t="s">
        <v>18</v>
      </c>
      <c r="S2" s="171" t="s">
        <v>19</v>
      </c>
      <c r="T2" s="171" t="s">
        <v>20</v>
      </c>
      <c r="U2" s="171" t="s">
        <v>21</v>
      </c>
      <c r="V2" s="172"/>
    </row>
    <row r="3" spans="1:22" s="162" customFormat="1" ht="15" customHeight="1" x14ac:dyDescent="0.3">
      <c r="A3" s="468" t="s">
        <v>22</v>
      </c>
      <c r="B3" s="468"/>
      <c r="C3" s="468"/>
      <c r="D3" s="468"/>
      <c r="E3" s="468"/>
      <c r="F3" s="468"/>
      <c r="G3" s="468"/>
      <c r="H3" s="468"/>
      <c r="I3" s="468"/>
      <c r="J3" s="468"/>
      <c r="K3" s="468"/>
      <c r="L3" s="468"/>
      <c r="N3" s="162">
        <v>89</v>
      </c>
      <c r="O3" s="173">
        <v>1810</v>
      </c>
      <c r="P3" s="162">
        <v>6243960</v>
      </c>
      <c r="Q3" s="162">
        <v>1379126</v>
      </c>
      <c r="R3" s="162">
        <v>1464744</v>
      </c>
      <c r="S3" s="163">
        <v>3400090</v>
      </c>
      <c r="T3" s="174">
        <v>37417</v>
      </c>
      <c r="U3" s="174">
        <v>3289</v>
      </c>
      <c r="V3" s="175"/>
    </row>
    <row r="4" spans="1:22" s="162" customFormat="1" ht="15" customHeight="1" thickBot="1" x14ac:dyDescent="0.35">
      <c r="A4" s="475" t="s">
        <v>23</v>
      </c>
      <c r="B4" s="475"/>
      <c r="C4" s="475"/>
      <c r="D4" s="475"/>
      <c r="E4" s="475"/>
      <c r="F4" s="475"/>
      <c r="G4" s="475"/>
      <c r="H4" s="475"/>
      <c r="I4" s="475"/>
      <c r="J4" s="475"/>
      <c r="K4" s="475"/>
      <c r="L4" s="475"/>
      <c r="M4" s="176"/>
      <c r="N4" s="162" t="s">
        <v>24</v>
      </c>
      <c r="O4" s="162" t="s">
        <v>25</v>
      </c>
      <c r="P4" s="162" t="s">
        <v>26</v>
      </c>
      <c r="Q4" s="162" t="s">
        <v>26</v>
      </c>
      <c r="R4" s="162" t="s">
        <v>26</v>
      </c>
      <c r="S4" s="177" t="s">
        <v>26</v>
      </c>
      <c r="T4" s="178" t="s">
        <v>26</v>
      </c>
      <c r="U4" s="174" t="s">
        <v>27</v>
      </c>
      <c r="V4" s="175"/>
    </row>
    <row r="5" spans="1:22" ht="28" x14ac:dyDescent="0.3">
      <c r="A5" s="246">
        <v>246.4</v>
      </c>
      <c r="B5" s="247" t="s">
        <v>28</v>
      </c>
      <c r="C5" s="20">
        <v>89</v>
      </c>
      <c r="D5" s="20">
        <v>1</v>
      </c>
      <c r="E5" s="18">
        <f>C5*D5</f>
        <v>89</v>
      </c>
      <c r="F5" s="21">
        <f>134.62+36</f>
        <v>170.62</v>
      </c>
      <c r="G5" s="18">
        <f>E5*F5</f>
        <v>15185.18</v>
      </c>
      <c r="H5" s="22">
        <v>11981.18</v>
      </c>
      <c r="I5" s="248">
        <f>G5-H5</f>
        <v>3204</v>
      </c>
      <c r="J5" s="248">
        <v>0</v>
      </c>
      <c r="K5" s="248">
        <f>G5-H5</f>
        <v>3204</v>
      </c>
      <c r="L5" s="249" t="s">
        <v>240</v>
      </c>
      <c r="O5" s="14"/>
      <c r="T5" s="181"/>
      <c r="U5" s="175"/>
      <c r="V5" s="175"/>
    </row>
    <row r="6" spans="1:22" ht="28" x14ac:dyDescent="0.3">
      <c r="A6" s="246" t="s">
        <v>241</v>
      </c>
      <c r="B6" s="247" t="s">
        <v>242</v>
      </c>
      <c r="C6" s="20">
        <v>15</v>
      </c>
      <c r="D6" s="20">
        <v>1</v>
      </c>
      <c r="E6" s="18">
        <f>C6*D6</f>
        <v>15</v>
      </c>
      <c r="F6" s="21">
        <v>80</v>
      </c>
      <c r="G6" s="18">
        <f>E6*F6</f>
        <v>1200</v>
      </c>
      <c r="H6" s="22">
        <v>0</v>
      </c>
      <c r="I6" s="248">
        <f>G6-H6</f>
        <v>1200</v>
      </c>
      <c r="J6" s="248">
        <v>0</v>
      </c>
      <c r="K6" s="248">
        <f>G6-H6</f>
        <v>1200</v>
      </c>
      <c r="L6" s="249" t="s">
        <v>240</v>
      </c>
      <c r="O6" s="14"/>
      <c r="T6" s="181"/>
      <c r="U6" s="175"/>
      <c r="V6" s="175"/>
    </row>
    <row r="7" spans="1:22" ht="14.5" x14ac:dyDescent="0.3">
      <c r="A7" s="179" t="s">
        <v>29</v>
      </c>
      <c r="B7" s="17" t="s">
        <v>30</v>
      </c>
      <c r="C7" s="6">
        <f>1810*0.5*0.7</f>
        <v>633.5</v>
      </c>
      <c r="D7" s="6">
        <v>1</v>
      </c>
      <c r="E7" s="15">
        <f t="shared" ref="E7:E69" si="0">C7*D7</f>
        <v>633.5</v>
      </c>
      <c r="F7" s="5">
        <v>2</v>
      </c>
      <c r="G7" s="15">
        <f t="shared" ref="G7:G69" si="1">E7*F7</f>
        <v>1267</v>
      </c>
      <c r="H7" s="7">
        <v>1267</v>
      </c>
      <c r="I7" s="10">
        <f>G7-H7</f>
        <v>0</v>
      </c>
      <c r="J7" s="10">
        <v>0</v>
      </c>
      <c r="K7" s="10">
        <f t="shared" ref="K7:K70" si="2">G7-H7</f>
        <v>0</v>
      </c>
      <c r="L7" s="180"/>
      <c r="O7" s="14"/>
      <c r="S7" s="182"/>
      <c r="T7" s="181"/>
      <c r="U7" s="175"/>
      <c r="V7" s="175"/>
    </row>
    <row r="8" spans="1:22" ht="14.5" x14ac:dyDescent="0.3">
      <c r="A8" s="179" t="s">
        <v>31</v>
      </c>
      <c r="B8" s="17" t="s">
        <v>32</v>
      </c>
      <c r="C8" s="6">
        <v>4</v>
      </c>
      <c r="D8" s="6">
        <v>1</v>
      </c>
      <c r="E8" s="15">
        <f t="shared" si="0"/>
        <v>4</v>
      </c>
      <c r="F8" s="5">
        <v>0.16700000000000001</v>
      </c>
      <c r="G8" s="15">
        <f t="shared" si="1"/>
        <v>0.66800000000000004</v>
      </c>
      <c r="H8" s="7">
        <v>0.66800000000000004</v>
      </c>
      <c r="I8" s="10">
        <f t="shared" ref="I8:I69" si="3">G8-H8</f>
        <v>0</v>
      </c>
      <c r="J8" s="10">
        <v>0</v>
      </c>
      <c r="K8" s="10">
        <f t="shared" si="2"/>
        <v>0</v>
      </c>
      <c r="L8" s="183"/>
      <c r="O8" s="14"/>
      <c r="S8" s="182"/>
      <c r="T8" s="181"/>
      <c r="U8" s="175"/>
      <c r="V8" s="175"/>
    </row>
    <row r="9" spans="1:22" ht="17.25" customHeight="1" x14ac:dyDescent="0.3">
      <c r="A9" s="179" t="s">
        <v>33</v>
      </c>
      <c r="B9" s="184" t="s">
        <v>34</v>
      </c>
      <c r="C9" s="6">
        <v>4</v>
      </c>
      <c r="D9" s="6">
        <f>(1810/89)*0.02</f>
        <v>0.40674157303370784</v>
      </c>
      <c r="E9" s="15">
        <f t="shared" si="0"/>
        <v>1.6269662921348313</v>
      </c>
      <c r="F9" s="5">
        <v>0.5</v>
      </c>
      <c r="G9" s="15">
        <f t="shared" si="1"/>
        <v>0.81348314606741567</v>
      </c>
      <c r="H9" s="7">
        <v>0.81348314606741567</v>
      </c>
      <c r="I9" s="10">
        <f t="shared" si="3"/>
        <v>0</v>
      </c>
      <c r="J9" s="10">
        <v>0</v>
      </c>
      <c r="K9" s="10">
        <f t="shared" si="2"/>
        <v>0</v>
      </c>
      <c r="L9" s="183"/>
      <c r="O9" s="14"/>
      <c r="S9" s="182"/>
      <c r="T9" s="181"/>
      <c r="U9" s="175"/>
      <c r="V9" s="175"/>
    </row>
    <row r="10" spans="1:22" ht="14.5" x14ac:dyDescent="0.3">
      <c r="A10" s="179">
        <v>246.6</v>
      </c>
      <c r="B10" s="17" t="s">
        <v>35</v>
      </c>
      <c r="C10" s="6">
        <f>1810*0.5*0.7</f>
        <v>633.5</v>
      </c>
      <c r="D10" s="6">
        <v>1</v>
      </c>
      <c r="E10" s="15">
        <f t="shared" si="0"/>
        <v>633.5</v>
      </c>
      <c r="F10" s="5">
        <v>1.5</v>
      </c>
      <c r="G10" s="15">
        <f t="shared" si="1"/>
        <v>950.25</v>
      </c>
      <c r="H10" s="7">
        <v>950.25</v>
      </c>
      <c r="I10" s="10">
        <f>G10-H10</f>
        <v>0</v>
      </c>
      <c r="J10" s="10">
        <v>0</v>
      </c>
      <c r="K10" s="10">
        <f t="shared" si="2"/>
        <v>0</v>
      </c>
      <c r="L10" s="180"/>
      <c r="O10" s="14"/>
      <c r="S10" s="182"/>
      <c r="T10" s="181"/>
      <c r="U10" s="175"/>
      <c r="V10" s="175"/>
    </row>
    <row r="11" spans="1:22" ht="28" x14ac:dyDescent="0.3">
      <c r="A11" s="179" t="s">
        <v>36</v>
      </c>
      <c r="B11" s="17" t="s">
        <v>37</v>
      </c>
      <c r="C11" s="6">
        <v>89</v>
      </c>
      <c r="D11" s="6">
        <f>(1810/89)</f>
        <v>20.337078651685392</v>
      </c>
      <c r="E11" s="15">
        <f t="shared" si="0"/>
        <v>1809.9999999999998</v>
      </c>
      <c r="F11" s="5">
        <v>0.25</v>
      </c>
      <c r="G11" s="15">
        <f t="shared" si="1"/>
        <v>452.49999999999994</v>
      </c>
      <c r="H11" s="7">
        <v>452.49999999999994</v>
      </c>
      <c r="I11" s="10">
        <f>G11-H11</f>
        <v>0</v>
      </c>
      <c r="J11" s="10">
        <v>0</v>
      </c>
      <c r="K11" s="10">
        <f t="shared" si="2"/>
        <v>0</v>
      </c>
      <c r="L11" s="183"/>
      <c r="O11" s="14"/>
      <c r="S11" s="182"/>
      <c r="T11" s="181"/>
      <c r="U11" s="175"/>
      <c r="V11" s="175"/>
    </row>
    <row r="12" spans="1:22" ht="14.25" customHeight="1" x14ac:dyDescent="0.3">
      <c r="A12" s="179" t="s">
        <v>38</v>
      </c>
      <c r="B12" s="17" t="s">
        <v>39</v>
      </c>
      <c r="C12" s="6">
        <f>(1810/6)*0.7</f>
        <v>211.16666666666666</v>
      </c>
      <c r="D12" s="6">
        <v>1</v>
      </c>
      <c r="E12" s="15">
        <f t="shared" si="0"/>
        <v>211.16666666666666</v>
      </c>
      <c r="F12" s="5">
        <v>0.25</v>
      </c>
      <c r="G12" s="15">
        <f t="shared" si="1"/>
        <v>52.791666666666664</v>
      </c>
      <c r="H12" s="7">
        <v>52.791666666666664</v>
      </c>
      <c r="I12" s="10">
        <f>G12-H12</f>
        <v>0</v>
      </c>
      <c r="J12" s="10">
        <v>0</v>
      </c>
      <c r="K12" s="10">
        <f t="shared" si="2"/>
        <v>0</v>
      </c>
      <c r="L12" s="180"/>
      <c r="O12" s="14"/>
      <c r="S12" s="182"/>
      <c r="T12" s="181"/>
      <c r="U12" s="175"/>
      <c r="V12" s="175"/>
    </row>
    <row r="13" spans="1:22" ht="11.25" hidden="1" customHeight="1" x14ac:dyDescent="0.3">
      <c r="A13" s="179" t="s">
        <v>40</v>
      </c>
      <c r="B13" s="17" t="s">
        <v>41</v>
      </c>
      <c r="C13" s="6"/>
      <c r="D13" s="6"/>
      <c r="E13" s="15">
        <f t="shared" si="0"/>
        <v>0</v>
      </c>
      <c r="F13" s="5"/>
      <c r="G13" s="15">
        <f t="shared" si="1"/>
        <v>0</v>
      </c>
      <c r="H13" s="7">
        <v>0</v>
      </c>
      <c r="I13" s="10">
        <f t="shared" si="3"/>
        <v>0</v>
      </c>
      <c r="J13" s="10">
        <f t="shared" ref="J13:J65" si="4">G13-H13</f>
        <v>0</v>
      </c>
      <c r="K13" s="10">
        <f t="shared" si="2"/>
        <v>0</v>
      </c>
      <c r="L13" s="180"/>
      <c r="O13" s="14"/>
      <c r="P13" s="14"/>
      <c r="Q13" s="14"/>
      <c r="S13" s="182"/>
      <c r="T13" s="181"/>
      <c r="U13" s="185"/>
      <c r="V13" s="175"/>
    </row>
    <row r="14" spans="1:22" ht="40.5" customHeight="1" x14ac:dyDescent="0.3">
      <c r="A14" s="179" t="s">
        <v>42</v>
      </c>
      <c r="B14" s="17" t="s">
        <v>43</v>
      </c>
      <c r="C14" s="6">
        <f>1810*0.7</f>
        <v>1267</v>
      </c>
      <c r="D14" s="6">
        <f>(1379126*0.7)/1267</f>
        <v>761.9480662983425</v>
      </c>
      <c r="E14" s="15">
        <f t="shared" si="0"/>
        <v>965388.2</v>
      </c>
      <c r="F14" s="5">
        <v>0.41749999999999998</v>
      </c>
      <c r="G14" s="15">
        <f t="shared" si="1"/>
        <v>403049.57349999994</v>
      </c>
      <c r="H14" s="7">
        <v>403049.57349999994</v>
      </c>
      <c r="I14" s="10">
        <f>G14-H14</f>
        <v>0</v>
      </c>
      <c r="J14" s="10">
        <v>0</v>
      </c>
      <c r="K14" s="10">
        <f t="shared" si="2"/>
        <v>0</v>
      </c>
      <c r="L14" s="17"/>
      <c r="O14" s="14"/>
      <c r="Q14" s="8"/>
      <c r="S14" s="182"/>
      <c r="T14" s="185"/>
      <c r="U14" s="175"/>
      <c r="V14" s="175"/>
    </row>
    <row r="15" spans="1:22" ht="99.75" customHeight="1" x14ac:dyDescent="0.3">
      <c r="A15" s="179" t="s">
        <v>40</v>
      </c>
      <c r="B15" s="17" t="s">
        <v>44</v>
      </c>
      <c r="C15" s="6">
        <f>1810*0.7</f>
        <v>1267</v>
      </c>
      <c r="D15" s="6">
        <f>(3400090*0.7)/1267</f>
        <v>1878.5027624309391</v>
      </c>
      <c r="E15" s="15">
        <f t="shared" si="0"/>
        <v>2380063</v>
      </c>
      <c r="F15" s="5">
        <v>0.41749999999999998</v>
      </c>
      <c r="G15" s="15">
        <f t="shared" si="1"/>
        <v>993676.30249999999</v>
      </c>
      <c r="H15" s="7">
        <v>993676.30249999999</v>
      </c>
      <c r="I15" s="10">
        <f>G15-H15</f>
        <v>0</v>
      </c>
      <c r="J15" s="10">
        <v>0</v>
      </c>
      <c r="K15" s="10">
        <f t="shared" si="2"/>
        <v>0</v>
      </c>
      <c r="L15" s="17"/>
      <c r="O15" s="14"/>
      <c r="Q15" s="63"/>
      <c r="S15" s="182"/>
      <c r="T15" s="175"/>
      <c r="U15" s="175"/>
      <c r="V15" s="175"/>
    </row>
    <row r="16" spans="1:22" ht="36" customHeight="1" x14ac:dyDescent="0.3">
      <c r="A16" s="179" t="s">
        <v>40</v>
      </c>
      <c r="B16" s="17" t="s">
        <v>45</v>
      </c>
      <c r="C16" s="6">
        <f>1810*0.7</f>
        <v>1267</v>
      </c>
      <c r="D16" s="6">
        <f>1*(1464744*0.7/1267)</f>
        <v>809.25082872928169</v>
      </c>
      <c r="E16" s="15">
        <f t="shared" si="0"/>
        <v>1025320.7999999999</v>
      </c>
      <c r="F16" s="5">
        <v>0.41749999999999998</v>
      </c>
      <c r="G16" s="15">
        <f t="shared" si="1"/>
        <v>428071.43399999995</v>
      </c>
      <c r="H16" s="7">
        <v>428071.43399999995</v>
      </c>
      <c r="I16" s="10">
        <f>G16-H16</f>
        <v>0</v>
      </c>
      <c r="J16" s="10">
        <v>0</v>
      </c>
      <c r="K16" s="10">
        <f t="shared" si="2"/>
        <v>0</v>
      </c>
      <c r="L16" s="17"/>
      <c r="O16" s="14"/>
      <c r="Q16" s="186"/>
      <c r="S16" s="182"/>
      <c r="T16" s="181"/>
      <c r="U16" s="175"/>
      <c r="V16" s="175"/>
    </row>
    <row r="17" spans="1:22" ht="14.5" x14ac:dyDescent="0.3">
      <c r="A17" s="179" t="s">
        <v>46</v>
      </c>
      <c r="B17" s="17" t="s">
        <v>47</v>
      </c>
      <c r="C17" s="6">
        <v>4</v>
      </c>
      <c r="D17" s="6">
        <v>1</v>
      </c>
      <c r="E17" s="15">
        <f t="shared" si="0"/>
        <v>4</v>
      </c>
      <c r="F17" s="5">
        <v>8.3500000000000005E-2</v>
      </c>
      <c r="G17" s="15">
        <f t="shared" si="1"/>
        <v>0.33400000000000002</v>
      </c>
      <c r="H17" s="7">
        <v>0.33400000000000002</v>
      </c>
      <c r="I17" s="10">
        <f t="shared" si="3"/>
        <v>0</v>
      </c>
      <c r="J17" s="10">
        <f t="shared" si="4"/>
        <v>0</v>
      </c>
      <c r="K17" s="10">
        <f t="shared" si="2"/>
        <v>0</v>
      </c>
      <c r="L17" s="180"/>
      <c r="O17" s="14"/>
      <c r="S17" s="182"/>
      <c r="T17" s="181"/>
      <c r="U17" s="175"/>
      <c r="V17" s="175"/>
    </row>
    <row r="18" spans="1:22" ht="14.5" x14ac:dyDescent="0.3">
      <c r="A18" s="179" t="s">
        <v>48</v>
      </c>
      <c r="B18" s="17" t="s">
        <v>49</v>
      </c>
      <c r="C18" s="6">
        <f>1810*0.7</f>
        <v>1267</v>
      </c>
      <c r="D18" s="6">
        <f>((0.03*6243960*0.7)/1267)</f>
        <v>103.49104972375689</v>
      </c>
      <c r="E18" s="15">
        <f t="shared" si="0"/>
        <v>131123.15999999997</v>
      </c>
      <c r="F18" s="5">
        <v>8.3500000000000005E-2</v>
      </c>
      <c r="G18" s="15">
        <f t="shared" si="1"/>
        <v>10948.783859999998</v>
      </c>
      <c r="H18" s="7">
        <v>10948.783859999998</v>
      </c>
      <c r="I18" s="10">
        <f>G18-H18</f>
        <v>0</v>
      </c>
      <c r="J18" s="10">
        <v>0</v>
      </c>
      <c r="K18" s="10">
        <f t="shared" si="2"/>
        <v>0</v>
      </c>
      <c r="L18" s="180"/>
      <c r="O18" s="14"/>
    </row>
    <row r="19" spans="1:22" ht="14.5" x14ac:dyDescent="0.3">
      <c r="A19" s="179">
        <v>246.8</v>
      </c>
      <c r="B19" s="187" t="s">
        <v>50</v>
      </c>
      <c r="C19" s="66">
        <v>79</v>
      </c>
      <c r="D19" s="66">
        <v>1</v>
      </c>
      <c r="E19" s="15">
        <f t="shared" si="0"/>
        <v>79</v>
      </c>
      <c r="F19" s="67">
        <v>3</v>
      </c>
      <c r="G19" s="68">
        <f t="shared" si="1"/>
        <v>237</v>
      </c>
      <c r="H19" s="69">
        <v>237</v>
      </c>
      <c r="I19" s="10">
        <f t="shared" si="3"/>
        <v>0</v>
      </c>
      <c r="J19" s="10">
        <v>0</v>
      </c>
      <c r="K19" s="10">
        <f t="shared" si="2"/>
        <v>0</v>
      </c>
      <c r="L19" s="188"/>
      <c r="O19" s="14"/>
    </row>
    <row r="20" spans="1:22" ht="42" x14ac:dyDescent="0.3">
      <c r="A20" s="179" t="s">
        <v>51</v>
      </c>
      <c r="B20" s="17" t="s">
        <v>52</v>
      </c>
      <c r="C20" s="6">
        <v>89</v>
      </c>
      <c r="D20" s="6">
        <f>(6243960*0.02)/89</f>
        <v>1403.1370786516854</v>
      </c>
      <c r="E20" s="15">
        <f t="shared" si="0"/>
        <v>124879.20000000001</v>
      </c>
      <c r="F20" s="5">
        <v>8.3500000000000005E-2</v>
      </c>
      <c r="G20" s="15">
        <f t="shared" si="1"/>
        <v>10427.413200000001</v>
      </c>
      <c r="H20" s="7">
        <v>10427.413200000001</v>
      </c>
      <c r="I20" s="10">
        <f t="shared" si="3"/>
        <v>0</v>
      </c>
      <c r="J20" s="10">
        <v>0</v>
      </c>
      <c r="K20" s="10">
        <f t="shared" si="2"/>
        <v>0</v>
      </c>
      <c r="L20" s="180"/>
      <c r="O20" s="14"/>
    </row>
    <row r="21" spans="1:22" ht="28" x14ac:dyDescent="0.3">
      <c r="A21" s="179" t="s">
        <v>53</v>
      </c>
      <c r="B21" s="17" t="s">
        <v>54</v>
      </c>
      <c r="C21" s="6">
        <v>89</v>
      </c>
      <c r="D21" s="6">
        <f>(6243960*0.02*0.02)/89</f>
        <v>28.062741573033705</v>
      </c>
      <c r="E21" s="15">
        <f t="shared" si="0"/>
        <v>2497.5839999999998</v>
      </c>
      <c r="F21" s="5">
        <v>3</v>
      </c>
      <c r="G21" s="15">
        <f t="shared" si="1"/>
        <v>7492.7519999999995</v>
      </c>
      <c r="H21" s="7">
        <v>7492.7519999999995</v>
      </c>
      <c r="I21" s="10">
        <f t="shared" si="3"/>
        <v>0</v>
      </c>
      <c r="J21" s="10">
        <v>0</v>
      </c>
      <c r="K21" s="10">
        <f t="shared" si="2"/>
        <v>0</v>
      </c>
      <c r="L21" s="180"/>
      <c r="O21" s="14"/>
    </row>
    <row r="22" spans="1:22" ht="14.5" x14ac:dyDescent="0.3">
      <c r="A22" s="179" t="s">
        <v>55</v>
      </c>
      <c r="B22" s="17" t="s">
        <v>56</v>
      </c>
      <c r="C22" s="6">
        <v>89</v>
      </c>
      <c r="D22" s="6">
        <v>1</v>
      </c>
      <c r="E22" s="15">
        <f t="shared" si="0"/>
        <v>89</v>
      </c>
      <c r="F22" s="5">
        <v>40</v>
      </c>
      <c r="G22" s="15">
        <f t="shared" si="1"/>
        <v>3560</v>
      </c>
      <c r="H22" s="7">
        <v>3560</v>
      </c>
      <c r="I22" s="10">
        <f t="shared" si="3"/>
        <v>0</v>
      </c>
      <c r="J22" s="10">
        <f t="shared" si="4"/>
        <v>0</v>
      </c>
      <c r="K22" s="10">
        <f t="shared" si="2"/>
        <v>0</v>
      </c>
      <c r="L22" s="180"/>
      <c r="O22" s="14"/>
    </row>
    <row r="23" spans="1:22" ht="14.5" x14ac:dyDescent="0.3">
      <c r="A23" s="179" t="s">
        <v>57</v>
      </c>
      <c r="B23" s="17" t="s">
        <v>58</v>
      </c>
      <c r="C23" s="6">
        <v>54</v>
      </c>
      <c r="D23" s="6">
        <v>4</v>
      </c>
      <c r="E23" s="15">
        <f t="shared" si="0"/>
        <v>216</v>
      </c>
      <c r="F23" s="5">
        <v>8.3000000000000001E-3</v>
      </c>
      <c r="G23" s="15">
        <f t="shared" si="1"/>
        <v>1.7927999999999999</v>
      </c>
      <c r="H23" s="7">
        <v>1.7927999999999999</v>
      </c>
      <c r="I23" s="10">
        <f t="shared" si="3"/>
        <v>0</v>
      </c>
      <c r="J23" s="10">
        <f t="shared" si="4"/>
        <v>0</v>
      </c>
      <c r="K23" s="10">
        <f t="shared" si="2"/>
        <v>0</v>
      </c>
      <c r="L23" s="189"/>
      <c r="O23" s="14"/>
    </row>
    <row r="24" spans="1:22" ht="28" x14ac:dyDescent="0.3">
      <c r="A24" s="179" t="s">
        <v>59</v>
      </c>
      <c r="B24" s="17" t="s">
        <v>60</v>
      </c>
      <c r="C24" s="6">
        <f>1810*0.7</f>
        <v>1267</v>
      </c>
      <c r="D24" s="6">
        <f>(1464744*0.7*0.01)/1267</f>
        <v>8.0925082872928158</v>
      </c>
      <c r="E24" s="15">
        <f t="shared" si="0"/>
        <v>10253.207999999997</v>
      </c>
      <c r="F24" s="5">
        <v>3.3399999999999999E-2</v>
      </c>
      <c r="G24" s="15">
        <f t="shared" si="1"/>
        <v>342.45714719999989</v>
      </c>
      <c r="H24" s="7">
        <v>342.45714719999989</v>
      </c>
      <c r="I24" s="10">
        <f>G24-H24</f>
        <v>0</v>
      </c>
      <c r="J24" s="10">
        <v>0</v>
      </c>
      <c r="K24" s="10">
        <f t="shared" si="2"/>
        <v>0</v>
      </c>
      <c r="L24" s="17"/>
      <c r="O24" s="14"/>
    </row>
    <row r="25" spans="1:22" ht="14.5" x14ac:dyDescent="0.3">
      <c r="A25" s="179" t="s">
        <v>61</v>
      </c>
      <c r="B25" s="17" t="s">
        <v>62</v>
      </c>
      <c r="C25" s="6">
        <f>(1/5)</f>
        <v>0.2</v>
      </c>
      <c r="D25" s="6">
        <v>1</v>
      </c>
      <c r="E25" s="15">
        <f t="shared" si="0"/>
        <v>0.2</v>
      </c>
      <c r="F25" s="5">
        <v>2</v>
      </c>
      <c r="G25" s="15">
        <f t="shared" si="1"/>
        <v>0.4</v>
      </c>
      <c r="H25" s="7">
        <v>0.4</v>
      </c>
      <c r="I25" s="10">
        <f t="shared" si="3"/>
        <v>0</v>
      </c>
      <c r="J25" s="10">
        <v>0</v>
      </c>
      <c r="K25" s="10">
        <f t="shared" si="2"/>
        <v>0</v>
      </c>
      <c r="L25" s="17"/>
      <c r="O25" s="14"/>
    </row>
    <row r="26" spans="1:22" ht="28" x14ac:dyDescent="0.3">
      <c r="A26" s="179" t="s">
        <v>63</v>
      </c>
      <c r="B26" s="17" t="s">
        <v>64</v>
      </c>
      <c r="C26" s="6">
        <f>1810*0.7</f>
        <v>1267</v>
      </c>
      <c r="D26" s="6">
        <f>((6243960*0.7)/1267)</f>
        <v>3449.7016574585637</v>
      </c>
      <c r="E26" s="15">
        <f t="shared" si="0"/>
        <v>4370772</v>
      </c>
      <c r="F26" s="5">
        <v>0.25</v>
      </c>
      <c r="G26" s="15">
        <f t="shared" si="1"/>
        <v>1092693</v>
      </c>
      <c r="H26" s="7">
        <v>1092693</v>
      </c>
      <c r="I26" s="10">
        <f t="shared" si="3"/>
        <v>0</v>
      </c>
      <c r="J26" s="10">
        <v>0</v>
      </c>
      <c r="K26" s="10">
        <f t="shared" si="2"/>
        <v>0</v>
      </c>
      <c r="L26" s="17"/>
      <c r="O26" s="14"/>
    </row>
    <row r="27" spans="1:22" ht="14.5" x14ac:dyDescent="0.3">
      <c r="A27" s="179" t="s">
        <v>65</v>
      </c>
      <c r="B27" s="17" t="s">
        <v>66</v>
      </c>
      <c r="C27" s="6">
        <f>0.7*1810</f>
        <v>1267</v>
      </c>
      <c r="D27" s="6">
        <v>1</v>
      </c>
      <c r="E27" s="15">
        <f t="shared" si="0"/>
        <v>1267</v>
      </c>
      <c r="F27" s="5">
        <v>40</v>
      </c>
      <c r="G27" s="15">
        <f t="shared" si="1"/>
        <v>50680</v>
      </c>
      <c r="H27" s="7">
        <v>50680</v>
      </c>
      <c r="I27" s="10">
        <f>G27-H27</f>
        <v>0</v>
      </c>
      <c r="J27" s="10">
        <v>0</v>
      </c>
      <c r="K27" s="10">
        <f t="shared" si="2"/>
        <v>0</v>
      </c>
      <c r="L27" s="180"/>
      <c r="O27" s="14"/>
    </row>
    <row r="28" spans="1:22" ht="14.5" x14ac:dyDescent="0.3">
      <c r="A28" s="179" t="s">
        <v>67</v>
      </c>
      <c r="B28" s="17" t="s">
        <v>68</v>
      </c>
      <c r="C28" s="6">
        <v>89</v>
      </c>
      <c r="D28" s="6">
        <v>1</v>
      </c>
      <c r="E28" s="15">
        <f t="shared" si="0"/>
        <v>89</v>
      </c>
      <c r="F28" s="5">
        <v>3</v>
      </c>
      <c r="G28" s="15">
        <f t="shared" si="1"/>
        <v>267</v>
      </c>
      <c r="H28" s="7">
        <v>267</v>
      </c>
      <c r="I28" s="10">
        <f t="shared" si="3"/>
        <v>0</v>
      </c>
      <c r="J28" s="10">
        <v>0</v>
      </c>
      <c r="K28" s="10">
        <f t="shared" si="2"/>
        <v>0</v>
      </c>
      <c r="L28" s="180"/>
      <c r="O28" s="14"/>
    </row>
    <row r="29" spans="1:22" ht="14.5" x14ac:dyDescent="0.3">
      <c r="A29" s="179" t="s">
        <v>69</v>
      </c>
      <c r="B29" s="17" t="s">
        <v>70</v>
      </c>
      <c r="C29" s="6">
        <v>89</v>
      </c>
      <c r="D29" s="6">
        <v>1</v>
      </c>
      <c r="E29" s="15">
        <f t="shared" si="0"/>
        <v>89</v>
      </c>
      <c r="F29" s="5">
        <v>3</v>
      </c>
      <c r="G29" s="15">
        <f t="shared" si="1"/>
        <v>267</v>
      </c>
      <c r="H29" s="7">
        <v>267</v>
      </c>
      <c r="I29" s="10">
        <f t="shared" si="3"/>
        <v>0</v>
      </c>
      <c r="J29" s="10">
        <v>0</v>
      </c>
      <c r="K29" s="10">
        <f t="shared" si="2"/>
        <v>0</v>
      </c>
      <c r="L29" s="180"/>
      <c r="O29" s="14"/>
    </row>
    <row r="30" spans="1:22" ht="14.5" x14ac:dyDescent="0.3">
      <c r="A30" s="179" t="s">
        <v>71</v>
      </c>
      <c r="B30" s="17" t="s">
        <v>72</v>
      </c>
      <c r="C30" s="6">
        <v>89</v>
      </c>
      <c r="D30" s="6">
        <f>(840)/89</f>
        <v>9.4382022471910112</v>
      </c>
      <c r="E30" s="15">
        <f t="shared" si="0"/>
        <v>840</v>
      </c>
      <c r="F30" s="5">
        <v>4</v>
      </c>
      <c r="G30" s="15">
        <f t="shared" si="1"/>
        <v>3360</v>
      </c>
      <c r="H30" s="7">
        <v>3360</v>
      </c>
      <c r="I30" s="10">
        <v>0</v>
      </c>
      <c r="J30" s="10">
        <f t="shared" si="4"/>
        <v>0</v>
      </c>
      <c r="K30" s="10">
        <f t="shared" si="2"/>
        <v>0</v>
      </c>
      <c r="L30" s="187"/>
      <c r="O30" s="14"/>
    </row>
    <row r="31" spans="1:22" ht="14.5" x14ac:dyDescent="0.3">
      <c r="A31" s="179" t="s">
        <v>73</v>
      </c>
      <c r="B31" s="17" t="s">
        <v>74</v>
      </c>
      <c r="C31" s="6">
        <v>79</v>
      </c>
      <c r="D31" s="6">
        <f>2*(37417/79)</f>
        <v>947.2658227848101</v>
      </c>
      <c r="E31" s="15">
        <f t="shared" si="0"/>
        <v>74834</v>
      </c>
      <c r="F31" s="5">
        <v>2</v>
      </c>
      <c r="G31" s="15">
        <f t="shared" si="1"/>
        <v>149668</v>
      </c>
      <c r="H31" s="7">
        <v>149668</v>
      </c>
      <c r="I31" s="10">
        <v>0</v>
      </c>
      <c r="J31" s="10">
        <f t="shared" si="4"/>
        <v>0</v>
      </c>
      <c r="K31" s="10">
        <f t="shared" si="2"/>
        <v>0</v>
      </c>
      <c r="L31" s="180"/>
      <c r="O31" s="14"/>
    </row>
    <row r="32" spans="1:22" ht="14.5" x14ac:dyDescent="0.3">
      <c r="A32" s="179" t="s">
        <v>73</v>
      </c>
      <c r="B32" s="17" t="s">
        <v>75</v>
      </c>
      <c r="C32" s="6">
        <v>5</v>
      </c>
      <c r="D32" s="6">
        <v>1</v>
      </c>
      <c r="E32" s="15">
        <f t="shared" si="0"/>
        <v>5</v>
      </c>
      <c r="F32" s="5">
        <v>8</v>
      </c>
      <c r="G32" s="15">
        <f t="shared" si="1"/>
        <v>40</v>
      </c>
      <c r="H32" s="7">
        <v>40</v>
      </c>
      <c r="I32" s="10">
        <f t="shared" si="3"/>
        <v>0</v>
      </c>
      <c r="J32" s="10">
        <f t="shared" si="4"/>
        <v>0</v>
      </c>
      <c r="K32" s="10">
        <f t="shared" si="2"/>
        <v>0</v>
      </c>
      <c r="L32" s="180"/>
      <c r="O32" s="14"/>
    </row>
    <row r="33" spans="1:15" ht="14.5" x14ac:dyDescent="0.3">
      <c r="A33" s="179" t="s">
        <v>76</v>
      </c>
      <c r="B33" s="17" t="s">
        <v>77</v>
      </c>
      <c r="C33" s="6">
        <v>89</v>
      </c>
      <c r="D33" s="6">
        <v>1</v>
      </c>
      <c r="E33" s="15">
        <f t="shared" si="0"/>
        <v>89</v>
      </c>
      <c r="F33" s="5">
        <v>3</v>
      </c>
      <c r="G33" s="15">
        <f t="shared" si="1"/>
        <v>267</v>
      </c>
      <c r="H33" s="7">
        <v>267</v>
      </c>
      <c r="I33" s="10">
        <f t="shared" si="3"/>
        <v>0</v>
      </c>
      <c r="J33" s="10">
        <v>0</v>
      </c>
      <c r="K33" s="10">
        <f t="shared" si="2"/>
        <v>0</v>
      </c>
      <c r="L33" s="180"/>
      <c r="O33" s="14"/>
    </row>
    <row r="34" spans="1:15" ht="14.5" x14ac:dyDescent="0.3">
      <c r="A34" s="179" t="s">
        <v>78</v>
      </c>
      <c r="B34" s="17" t="s">
        <v>79</v>
      </c>
      <c r="C34" s="6">
        <v>89</v>
      </c>
      <c r="D34" s="6">
        <v>17</v>
      </c>
      <c r="E34" s="15">
        <f t="shared" si="0"/>
        <v>1513</v>
      </c>
      <c r="F34" s="5">
        <v>1</v>
      </c>
      <c r="G34" s="15">
        <f t="shared" si="1"/>
        <v>1513</v>
      </c>
      <c r="H34" s="7">
        <v>1513</v>
      </c>
      <c r="I34" s="10">
        <f t="shared" si="3"/>
        <v>0</v>
      </c>
      <c r="J34" s="10">
        <v>0</v>
      </c>
      <c r="K34" s="10">
        <f t="shared" si="2"/>
        <v>0</v>
      </c>
      <c r="L34" s="188"/>
      <c r="O34" s="14"/>
    </row>
    <row r="35" spans="1:15" ht="14.5" x14ac:dyDescent="0.3">
      <c r="A35" s="179" t="s">
        <v>80</v>
      </c>
      <c r="B35" s="17" t="s">
        <v>81</v>
      </c>
      <c r="C35" s="6">
        <v>89</v>
      </c>
      <c r="D35" s="6">
        <v>1</v>
      </c>
      <c r="E35" s="15">
        <f t="shared" si="0"/>
        <v>89</v>
      </c>
      <c r="F35" s="5">
        <v>3</v>
      </c>
      <c r="G35" s="15">
        <f t="shared" si="1"/>
        <v>267</v>
      </c>
      <c r="H35" s="7">
        <v>267</v>
      </c>
      <c r="I35" s="10">
        <f t="shared" si="3"/>
        <v>0</v>
      </c>
      <c r="J35" s="10">
        <v>0</v>
      </c>
      <c r="K35" s="10">
        <f t="shared" si="2"/>
        <v>0</v>
      </c>
      <c r="L35" s="180"/>
      <c r="O35" s="14"/>
    </row>
    <row r="36" spans="1:15" ht="28" x14ac:dyDescent="0.3">
      <c r="A36" s="179" t="s">
        <v>82</v>
      </c>
      <c r="B36" s="17" t="s">
        <v>83</v>
      </c>
      <c r="C36" s="6">
        <v>89</v>
      </c>
      <c r="D36" s="6">
        <f>(0.33*37417)/89</f>
        <v>138.73719101123595</v>
      </c>
      <c r="E36" s="15">
        <f t="shared" si="0"/>
        <v>12347.609999999999</v>
      </c>
      <c r="F36" s="5">
        <v>0.66800000000000004</v>
      </c>
      <c r="G36" s="15">
        <f t="shared" si="1"/>
        <v>8248.2034800000001</v>
      </c>
      <c r="H36" s="7">
        <v>8248.2034800000001</v>
      </c>
      <c r="I36" s="10">
        <f t="shared" si="3"/>
        <v>0</v>
      </c>
      <c r="J36" s="10">
        <v>0</v>
      </c>
      <c r="K36" s="10">
        <f t="shared" si="2"/>
        <v>0</v>
      </c>
      <c r="L36" s="180"/>
      <c r="O36" s="14"/>
    </row>
    <row r="37" spans="1:15" ht="14.5" x14ac:dyDescent="0.3">
      <c r="A37" s="179" t="s">
        <v>84</v>
      </c>
      <c r="B37" s="17" t="s">
        <v>85</v>
      </c>
      <c r="C37" s="6">
        <v>89</v>
      </c>
      <c r="D37" s="6">
        <v>1</v>
      </c>
      <c r="E37" s="15">
        <f t="shared" si="0"/>
        <v>89</v>
      </c>
      <c r="F37" s="5">
        <v>8</v>
      </c>
      <c r="G37" s="15">
        <f t="shared" si="1"/>
        <v>712</v>
      </c>
      <c r="H37" s="7">
        <v>712</v>
      </c>
      <c r="I37" s="10">
        <f t="shared" si="3"/>
        <v>0</v>
      </c>
      <c r="J37" s="10">
        <f t="shared" si="4"/>
        <v>0</v>
      </c>
      <c r="K37" s="10">
        <f t="shared" si="2"/>
        <v>0</v>
      </c>
      <c r="L37" s="180"/>
      <c r="O37" s="14"/>
    </row>
    <row r="38" spans="1:15" ht="14.5" x14ac:dyDescent="0.3">
      <c r="A38" s="179" t="s">
        <v>84</v>
      </c>
      <c r="B38" s="17" t="s">
        <v>86</v>
      </c>
      <c r="C38" s="10">
        <v>89</v>
      </c>
      <c r="D38" s="6">
        <f>(37417/89)</f>
        <v>420.41573033707863</v>
      </c>
      <c r="E38" s="15">
        <f t="shared" si="0"/>
        <v>37417</v>
      </c>
      <c r="F38" s="5">
        <v>2</v>
      </c>
      <c r="G38" s="15">
        <f t="shared" si="1"/>
        <v>74834</v>
      </c>
      <c r="H38" s="7">
        <v>74834</v>
      </c>
      <c r="I38" s="10">
        <v>0</v>
      </c>
      <c r="J38" s="10">
        <f t="shared" si="4"/>
        <v>0</v>
      </c>
      <c r="K38" s="10">
        <f t="shared" si="2"/>
        <v>0</v>
      </c>
      <c r="L38" s="180"/>
      <c r="O38" s="14"/>
    </row>
    <row r="39" spans="1:15" ht="102" customHeight="1" x14ac:dyDescent="0.3">
      <c r="A39" s="179" t="s">
        <v>87</v>
      </c>
      <c r="B39" s="17" t="s">
        <v>88</v>
      </c>
      <c r="C39" s="10">
        <v>89</v>
      </c>
      <c r="D39" s="6">
        <f>(0.05*37417)/89</f>
        <v>21.020786516853935</v>
      </c>
      <c r="E39" s="15">
        <f t="shared" si="0"/>
        <v>1870.8500000000001</v>
      </c>
      <c r="F39" s="5">
        <v>1.3340000000000001</v>
      </c>
      <c r="G39" s="15">
        <f t="shared" si="1"/>
        <v>2495.7139000000002</v>
      </c>
      <c r="H39" s="7">
        <v>2495.7139000000002</v>
      </c>
      <c r="I39" s="10">
        <f t="shared" si="3"/>
        <v>0</v>
      </c>
      <c r="J39" s="10">
        <v>0</v>
      </c>
      <c r="K39" s="10">
        <f t="shared" si="2"/>
        <v>0</v>
      </c>
      <c r="L39" s="180"/>
      <c r="O39" s="14"/>
    </row>
    <row r="40" spans="1:15" ht="14.5" x14ac:dyDescent="0.3">
      <c r="A40" s="179" t="s">
        <v>89</v>
      </c>
      <c r="B40" s="17" t="s">
        <v>90</v>
      </c>
      <c r="C40" s="10">
        <v>89</v>
      </c>
      <c r="D40" s="6">
        <f>(37417*0.05)/89</f>
        <v>21.020786516853935</v>
      </c>
      <c r="E40" s="15">
        <f t="shared" si="0"/>
        <v>1870.8500000000001</v>
      </c>
      <c r="F40" s="5">
        <v>2.3340000000000001</v>
      </c>
      <c r="G40" s="15">
        <f t="shared" si="1"/>
        <v>4366.5639000000001</v>
      </c>
      <c r="H40" s="7">
        <v>4366.5639000000001</v>
      </c>
      <c r="I40" s="10">
        <f>G40-H40</f>
        <v>0</v>
      </c>
      <c r="J40" s="10">
        <v>0</v>
      </c>
      <c r="K40" s="10">
        <f t="shared" si="2"/>
        <v>0</v>
      </c>
      <c r="L40" s="188"/>
      <c r="O40" s="14"/>
    </row>
    <row r="41" spans="1:15" ht="28" x14ac:dyDescent="0.3">
      <c r="A41" s="179" t="s">
        <v>91</v>
      </c>
      <c r="B41" s="17" t="s">
        <v>92</v>
      </c>
      <c r="C41" s="10">
        <v>2</v>
      </c>
      <c r="D41" s="6">
        <v>1</v>
      </c>
      <c r="E41" s="15">
        <f t="shared" si="0"/>
        <v>2</v>
      </c>
      <c r="F41" s="5">
        <v>3</v>
      </c>
      <c r="G41" s="15">
        <f t="shared" si="1"/>
        <v>6</v>
      </c>
      <c r="H41" s="7">
        <v>6</v>
      </c>
      <c r="I41" s="10">
        <f t="shared" si="3"/>
        <v>0</v>
      </c>
      <c r="J41" s="10">
        <v>0</v>
      </c>
      <c r="K41" s="10">
        <f t="shared" si="2"/>
        <v>0</v>
      </c>
      <c r="L41" s="180"/>
      <c r="O41" s="14"/>
    </row>
    <row r="42" spans="1:15" ht="14.5" x14ac:dyDescent="0.3">
      <c r="A42" s="179" t="s">
        <v>93</v>
      </c>
      <c r="B42" s="17" t="s">
        <v>94</v>
      </c>
      <c r="C42" s="10">
        <v>89</v>
      </c>
      <c r="D42" s="6">
        <f>1048/89</f>
        <v>11.775280898876405</v>
      </c>
      <c r="E42" s="15">
        <f t="shared" si="0"/>
        <v>1048</v>
      </c>
      <c r="F42" s="5">
        <v>8.3500000000000005E-2</v>
      </c>
      <c r="G42" s="15">
        <f t="shared" si="1"/>
        <v>87.50800000000001</v>
      </c>
      <c r="H42" s="7">
        <v>87.50800000000001</v>
      </c>
      <c r="I42" s="10">
        <f t="shared" si="3"/>
        <v>0</v>
      </c>
      <c r="J42" s="10">
        <v>0</v>
      </c>
      <c r="K42" s="10">
        <f t="shared" si="2"/>
        <v>0</v>
      </c>
      <c r="L42" s="180"/>
      <c r="O42" s="14"/>
    </row>
    <row r="43" spans="1:15" ht="14.5" x14ac:dyDescent="0.3">
      <c r="A43" s="179" t="s">
        <v>95</v>
      </c>
      <c r="B43" s="17" t="s">
        <v>96</v>
      </c>
      <c r="C43" s="10">
        <v>1</v>
      </c>
      <c r="D43" s="6">
        <v>12</v>
      </c>
      <c r="E43" s="15">
        <f>C43*D43</f>
        <v>12</v>
      </c>
      <c r="F43" s="5">
        <v>40</v>
      </c>
      <c r="G43" s="15">
        <f>E43*F43</f>
        <v>480</v>
      </c>
      <c r="H43" s="7">
        <v>480</v>
      </c>
      <c r="I43" s="10">
        <f t="shared" si="3"/>
        <v>0</v>
      </c>
      <c r="J43" s="10">
        <v>0</v>
      </c>
      <c r="K43" s="10">
        <f t="shared" si="2"/>
        <v>0</v>
      </c>
      <c r="L43" s="180"/>
      <c r="O43" s="14"/>
    </row>
    <row r="44" spans="1:15" ht="14.5" x14ac:dyDescent="0.3">
      <c r="A44" s="179" t="s">
        <v>97</v>
      </c>
      <c r="B44" s="17" t="s">
        <v>98</v>
      </c>
      <c r="C44" s="6">
        <v>89</v>
      </c>
      <c r="D44" s="6">
        <f>10000/89</f>
        <v>112.35955056179775</v>
      </c>
      <c r="E44" s="15">
        <f t="shared" si="0"/>
        <v>10000</v>
      </c>
      <c r="F44" s="5">
        <v>1</v>
      </c>
      <c r="G44" s="15">
        <f t="shared" si="1"/>
        <v>10000</v>
      </c>
      <c r="H44" s="7">
        <v>10000</v>
      </c>
      <c r="I44" s="10">
        <f t="shared" si="3"/>
        <v>0</v>
      </c>
      <c r="J44" s="10">
        <f t="shared" si="4"/>
        <v>0</v>
      </c>
      <c r="K44" s="10">
        <f t="shared" si="2"/>
        <v>0</v>
      </c>
      <c r="L44" s="180"/>
      <c r="O44" s="14"/>
    </row>
    <row r="45" spans="1:15" ht="28" x14ac:dyDescent="0.3">
      <c r="A45" s="179" t="s">
        <v>99</v>
      </c>
      <c r="B45" s="17" t="s">
        <v>100</v>
      </c>
      <c r="C45" s="6">
        <v>89</v>
      </c>
      <c r="D45" s="6">
        <v>1</v>
      </c>
      <c r="E45" s="15">
        <f t="shared" si="0"/>
        <v>89</v>
      </c>
      <c r="F45" s="5">
        <v>2</v>
      </c>
      <c r="G45" s="15">
        <f t="shared" si="1"/>
        <v>178</v>
      </c>
      <c r="H45" s="7">
        <v>178</v>
      </c>
      <c r="I45" s="10">
        <f t="shared" si="3"/>
        <v>0</v>
      </c>
      <c r="J45" s="10">
        <v>0</v>
      </c>
      <c r="K45" s="10">
        <f t="shared" si="2"/>
        <v>0</v>
      </c>
      <c r="L45" s="180"/>
      <c r="O45" s="14"/>
    </row>
    <row r="46" spans="1:15" ht="14.5" x14ac:dyDescent="0.3">
      <c r="A46" s="179" t="s">
        <v>101</v>
      </c>
      <c r="B46" s="17" t="s">
        <v>102</v>
      </c>
      <c r="C46" s="6">
        <v>89</v>
      </c>
      <c r="D46" s="6">
        <v>1</v>
      </c>
      <c r="E46" s="15">
        <f t="shared" si="0"/>
        <v>89</v>
      </c>
      <c r="F46" s="5">
        <v>40</v>
      </c>
      <c r="G46" s="15">
        <f t="shared" si="1"/>
        <v>3560</v>
      </c>
      <c r="H46" s="7">
        <v>3560</v>
      </c>
      <c r="I46" s="10">
        <f t="shared" si="3"/>
        <v>0</v>
      </c>
      <c r="J46" s="10">
        <f t="shared" si="4"/>
        <v>0</v>
      </c>
      <c r="K46" s="10">
        <f t="shared" si="2"/>
        <v>0</v>
      </c>
      <c r="L46" s="180"/>
      <c r="O46" s="14"/>
    </row>
    <row r="47" spans="1:15" ht="14.5" x14ac:dyDescent="0.3">
      <c r="A47" s="179" t="s">
        <v>103</v>
      </c>
      <c r="B47" s="17" t="s">
        <v>104</v>
      </c>
      <c r="C47" s="6">
        <v>89</v>
      </c>
      <c r="D47" s="6">
        <f>(6243960*0.02)/89</f>
        <v>1403.1370786516854</v>
      </c>
      <c r="E47" s="15">
        <f t="shared" si="0"/>
        <v>124879.20000000001</v>
      </c>
      <c r="F47" s="5">
        <v>8.3500000000000005E-2</v>
      </c>
      <c r="G47" s="15">
        <f t="shared" si="1"/>
        <v>10427.413200000001</v>
      </c>
      <c r="H47" s="7">
        <v>10427.413200000001</v>
      </c>
      <c r="I47" s="10">
        <f t="shared" si="3"/>
        <v>0</v>
      </c>
      <c r="J47" s="10">
        <v>0</v>
      </c>
      <c r="K47" s="10">
        <f t="shared" si="2"/>
        <v>0</v>
      </c>
      <c r="L47" s="180"/>
      <c r="O47" s="14"/>
    </row>
    <row r="48" spans="1:15" ht="28" x14ac:dyDescent="0.3">
      <c r="A48" s="179" t="s">
        <v>105</v>
      </c>
      <c r="B48" s="17" t="s">
        <v>106</v>
      </c>
      <c r="C48" s="6">
        <v>89</v>
      </c>
      <c r="D48" s="6">
        <f>(0.33*3289)/89</f>
        <v>12.195168539325843</v>
      </c>
      <c r="E48" s="15">
        <f t="shared" si="0"/>
        <v>1085.3700000000001</v>
      </c>
      <c r="F48" s="5">
        <v>0.66800000000000004</v>
      </c>
      <c r="G48" s="15">
        <f t="shared" si="1"/>
        <v>725.02716000000009</v>
      </c>
      <c r="H48" s="7">
        <v>725.02716000000009</v>
      </c>
      <c r="I48" s="10">
        <f t="shared" si="3"/>
        <v>0</v>
      </c>
      <c r="J48" s="10">
        <v>0</v>
      </c>
      <c r="K48" s="10">
        <f t="shared" si="2"/>
        <v>0</v>
      </c>
      <c r="L48" s="180"/>
      <c r="O48" s="14"/>
    </row>
    <row r="49" spans="1:15" ht="14.5" x14ac:dyDescent="0.3">
      <c r="A49" s="179" t="s">
        <v>107</v>
      </c>
      <c r="B49" s="17" t="s">
        <v>108</v>
      </c>
      <c r="C49" s="6">
        <v>89</v>
      </c>
      <c r="D49" s="6">
        <f>(3289*0.02)/89</f>
        <v>0.73910112359550562</v>
      </c>
      <c r="E49" s="15">
        <f>C49*D49</f>
        <v>65.78</v>
      </c>
      <c r="F49" s="5">
        <v>8.3500000000000005E-2</v>
      </c>
      <c r="G49" s="15">
        <f>E49*F49</f>
        <v>5.4926300000000001</v>
      </c>
      <c r="H49" s="7">
        <v>5.4926300000000001</v>
      </c>
      <c r="I49" s="10">
        <f t="shared" si="3"/>
        <v>0</v>
      </c>
      <c r="J49" s="10">
        <v>0</v>
      </c>
      <c r="K49" s="10">
        <f t="shared" si="2"/>
        <v>0</v>
      </c>
      <c r="L49" s="180"/>
      <c r="O49" s="14"/>
    </row>
    <row r="50" spans="1:15" ht="28" x14ac:dyDescent="0.3">
      <c r="A50" s="179" t="s">
        <v>109</v>
      </c>
      <c r="B50" s="17" t="s">
        <v>110</v>
      </c>
      <c r="C50" s="6">
        <v>89</v>
      </c>
      <c r="D50" s="6">
        <v>1</v>
      </c>
      <c r="E50" s="15">
        <f>C50*D50</f>
        <v>89</v>
      </c>
      <c r="F50" s="5">
        <v>3</v>
      </c>
      <c r="G50" s="15">
        <f>E50*F50</f>
        <v>267</v>
      </c>
      <c r="H50" s="7">
        <v>267</v>
      </c>
      <c r="I50" s="10">
        <f t="shared" si="3"/>
        <v>0</v>
      </c>
      <c r="J50" s="10">
        <v>0</v>
      </c>
      <c r="K50" s="10">
        <f t="shared" si="2"/>
        <v>0</v>
      </c>
      <c r="L50" s="180"/>
      <c r="O50" s="14"/>
    </row>
    <row r="51" spans="1:15" ht="87" customHeight="1" x14ac:dyDescent="0.3">
      <c r="A51" s="179" t="s">
        <v>111</v>
      </c>
      <c r="B51" s="17" t="s">
        <v>112</v>
      </c>
      <c r="C51" s="6">
        <v>20</v>
      </c>
      <c r="D51" s="6">
        <v>1</v>
      </c>
      <c r="E51" s="15">
        <f t="shared" si="0"/>
        <v>20</v>
      </c>
      <c r="F51" s="5">
        <v>160</v>
      </c>
      <c r="G51" s="15">
        <f t="shared" si="1"/>
        <v>3200</v>
      </c>
      <c r="H51" s="7">
        <v>3200</v>
      </c>
      <c r="I51" s="10">
        <f t="shared" si="3"/>
        <v>0</v>
      </c>
      <c r="J51" s="10">
        <f t="shared" si="4"/>
        <v>0</v>
      </c>
      <c r="K51" s="10">
        <f t="shared" si="2"/>
        <v>0</v>
      </c>
      <c r="L51" s="190"/>
      <c r="O51" s="14"/>
    </row>
    <row r="52" spans="1:15" ht="28" x14ac:dyDescent="0.3">
      <c r="A52" s="179" t="s">
        <v>113</v>
      </c>
      <c r="B52" s="17" t="s">
        <v>114</v>
      </c>
      <c r="C52" s="6">
        <v>27</v>
      </c>
      <c r="D52" s="6">
        <v>1</v>
      </c>
      <c r="E52" s="15">
        <f t="shared" si="0"/>
        <v>27</v>
      </c>
      <c r="F52" s="5">
        <v>2</v>
      </c>
      <c r="G52" s="15">
        <f t="shared" si="1"/>
        <v>54</v>
      </c>
      <c r="H52" s="7">
        <v>54</v>
      </c>
      <c r="I52" s="10">
        <f t="shared" si="3"/>
        <v>0</v>
      </c>
      <c r="J52" s="10">
        <v>0</v>
      </c>
      <c r="K52" s="10">
        <f t="shared" si="2"/>
        <v>0</v>
      </c>
      <c r="L52" s="190"/>
      <c r="O52" s="14"/>
    </row>
    <row r="53" spans="1:15" ht="14.5" x14ac:dyDescent="0.3">
      <c r="A53" s="179" t="s">
        <v>115</v>
      </c>
      <c r="B53" s="17" t="s">
        <v>116</v>
      </c>
      <c r="C53" s="6">
        <v>89</v>
      </c>
      <c r="D53" s="6">
        <f>(1810*4)/89</f>
        <v>81.348314606741567</v>
      </c>
      <c r="E53" s="15">
        <f t="shared" si="0"/>
        <v>7239.9999999999991</v>
      </c>
      <c r="F53" s="5">
        <v>2</v>
      </c>
      <c r="G53" s="15">
        <f t="shared" si="1"/>
        <v>14479.999999999998</v>
      </c>
      <c r="H53" s="7">
        <v>14479.999999999998</v>
      </c>
      <c r="I53" s="10">
        <v>0</v>
      </c>
      <c r="J53" s="10">
        <f t="shared" si="4"/>
        <v>0</v>
      </c>
      <c r="K53" s="10">
        <f t="shared" si="2"/>
        <v>0</v>
      </c>
      <c r="L53" s="191"/>
      <c r="O53" s="14"/>
    </row>
    <row r="54" spans="1:15" ht="42" x14ac:dyDescent="0.3">
      <c r="A54" s="179" t="s">
        <v>117</v>
      </c>
      <c r="B54" s="17" t="s">
        <v>118</v>
      </c>
      <c r="C54" s="6">
        <v>30</v>
      </c>
      <c r="D54" s="6">
        <v>1</v>
      </c>
      <c r="E54" s="15">
        <f t="shared" si="0"/>
        <v>30</v>
      </c>
      <c r="F54" s="5">
        <v>1.5</v>
      </c>
      <c r="G54" s="15">
        <f t="shared" si="1"/>
        <v>45</v>
      </c>
      <c r="H54" s="7">
        <v>45</v>
      </c>
      <c r="I54" s="10">
        <f t="shared" si="3"/>
        <v>0</v>
      </c>
      <c r="J54" s="10">
        <v>0</v>
      </c>
      <c r="K54" s="10">
        <f t="shared" si="2"/>
        <v>0</v>
      </c>
      <c r="L54" s="190"/>
      <c r="O54" s="14"/>
    </row>
    <row r="55" spans="1:15" ht="28" x14ac:dyDescent="0.3">
      <c r="A55" s="179" t="s">
        <v>119</v>
      </c>
      <c r="B55" s="17" t="s">
        <v>120</v>
      </c>
      <c r="C55" s="6">
        <f>79/5</f>
        <v>15.8</v>
      </c>
      <c r="D55" s="6">
        <v>1</v>
      </c>
      <c r="E55" s="15">
        <f t="shared" si="0"/>
        <v>15.8</v>
      </c>
      <c r="F55" s="5">
        <v>1968</v>
      </c>
      <c r="G55" s="15">
        <f t="shared" si="1"/>
        <v>31094.400000000001</v>
      </c>
      <c r="H55" s="7">
        <v>31094.400000000001</v>
      </c>
      <c r="I55" s="10">
        <f t="shared" si="3"/>
        <v>0</v>
      </c>
      <c r="J55" s="10">
        <v>0</v>
      </c>
      <c r="K55" s="10">
        <f t="shared" si="2"/>
        <v>0</v>
      </c>
      <c r="L55" s="190"/>
      <c r="O55" s="14"/>
    </row>
    <row r="56" spans="1:15" ht="14.5" x14ac:dyDescent="0.3">
      <c r="A56" s="179" t="s">
        <v>121</v>
      </c>
      <c r="B56" s="17" t="s">
        <v>122</v>
      </c>
      <c r="C56" s="6">
        <v>2</v>
      </c>
      <c r="D56" s="6">
        <v>1</v>
      </c>
      <c r="E56" s="15">
        <f t="shared" si="0"/>
        <v>2</v>
      </c>
      <c r="F56" s="5">
        <v>8</v>
      </c>
      <c r="G56" s="15">
        <f t="shared" si="1"/>
        <v>16</v>
      </c>
      <c r="H56" s="7">
        <v>16</v>
      </c>
      <c r="I56" s="10">
        <f t="shared" si="3"/>
        <v>0</v>
      </c>
      <c r="J56" s="10">
        <v>0</v>
      </c>
      <c r="K56" s="10">
        <f t="shared" si="2"/>
        <v>0</v>
      </c>
      <c r="L56" s="190"/>
      <c r="O56" s="14"/>
    </row>
    <row r="57" spans="1:15" ht="28" x14ac:dyDescent="0.3">
      <c r="A57" s="179" t="s">
        <v>123</v>
      </c>
      <c r="B57" s="17" t="s">
        <v>124</v>
      </c>
      <c r="C57" s="6">
        <v>2</v>
      </c>
      <c r="D57" s="6">
        <v>1</v>
      </c>
      <c r="E57" s="15">
        <f t="shared" si="0"/>
        <v>2</v>
      </c>
      <c r="F57" s="5">
        <v>480</v>
      </c>
      <c r="G57" s="15">
        <f t="shared" si="1"/>
        <v>960</v>
      </c>
      <c r="H57" s="7">
        <v>960</v>
      </c>
      <c r="I57" s="10">
        <f t="shared" si="3"/>
        <v>0</v>
      </c>
      <c r="J57" s="10">
        <v>0</v>
      </c>
      <c r="K57" s="10">
        <f t="shared" si="2"/>
        <v>0</v>
      </c>
      <c r="L57" s="192"/>
      <c r="O57" s="14"/>
    </row>
    <row r="58" spans="1:15" ht="28.5" x14ac:dyDescent="0.35">
      <c r="A58" s="250" t="s">
        <v>243</v>
      </c>
      <c r="B58" s="251" t="s">
        <v>244</v>
      </c>
      <c r="C58" s="251">
        <v>74</v>
      </c>
      <c r="D58" s="251">
        <v>1</v>
      </c>
      <c r="E58" s="252">
        <v>74</v>
      </c>
      <c r="F58" s="253">
        <v>40</v>
      </c>
      <c r="G58" s="18">
        <f t="shared" si="1"/>
        <v>2960</v>
      </c>
      <c r="H58" s="254">
        <v>0</v>
      </c>
      <c r="I58" s="248">
        <f t="shared" si="3"/>
        <v>2960</v>
      </c>
      <c r="J58" s="255">
        <v>0</v>
      </c>
      <c r="K58" s="248">
        <f t="shared" si="2"/>
        <v>2960</v>
      </c>
      <c r="L58" s="255" t="s">
        <v>230</v>
      </c>
      <c r="O58" s="14"/>
    </row>
    <row r="59" spans="1:15" ht="14.5" x14ac:dyDescent="0.3">
      <c r="A59" s="179" t="s">
        <v>125</v>
      </c>
      <c r="B59" s="17" t="s">
        <v>126</v>
      </c>
      <c r="C59" s="6">
        <v>89</v>
      </c>
      <c r="D59" s="6">
        <f>(10/89)</f>
        <v>0.11235955056179775</v>
      </c>
      <c r="E59" s="15">
        <f t="shared" si="0"/>
        <v>10</v>
      </c>
      <c r="F59" s="5">
        <v>8</v>
      </c>
      <c r="G59" s="15">
        <f t="shared" si="1"/>
        <v>80</v>
      </c>
      <c r="H59" s="7">
        <v>80</v>
      </c>
      <c r="I59" s="10">
        <f t="shared" si="3"/>
        <v>0</v>
      </c>
      <c r="J59" s="10">
        <f t="shared" si="4"/>
        <v>0</v>
      </c>
      <c r="K59" s="10">
        <f t="shared" si="2"/>
        <v>0</v>
      </c>
      <c r="L59" s="192"/>
      <c r="O59" s="14"/>
    </row>
    <row r="60" spans="1:15" ht="28" x14ac:dyDescent="0.3">
      <c r="A60" s="179">
        <v>246.18</v>
      </c>
      <c r="B60" s="17" t="s">
        <v>127</v>
      </c>
      <c r="C60" s="6">
        <v>89</v>
      </c>
      <c r="D60" s="6">
        <f>((1048+65.78)*0.02)/89</f>
        <v>0.25028764044943819</v>
      </c>
      <c r="E60" s="15">
        <f t="shared" si="0"/>
        <v>22.275599999999997</v>
      </c>
      <c r="F60" s="5">
        <v>2</v>
      </c>
      <c r="G60" s="15">
        <f t="shared" si="1"/>
        <v>44.551199999999994</v>
      </c>
      <c r="H60" s="7">
        <v>44.551199999999994</v>
      </c>
      <c r="I60" s="10">
        <f t="shared" si="3"/>
        <v>0</v>
      </c>
      <c r="J60" s="10">
        <v>0</v>
      </c>
      <c r="K60" s="10">
        <f t="shared" si="2"/>
        <v>0</v>
      </c>
      <c r="L60" s="193"/>
      <c r="O60" s="14"/>
    </row>
    <row r="61" spans="1:15" ht="14.5" x14ac:dyDescent="0.3">
      <c r="A61" s="179" t="s">
        <v>128</v>
      </c>
      <c r="B61" s="17" t="s">
        <v>129</v>
      </c>
      <c r="C61" s="6">
        <f>89*0.33</f>
        <v>29.37</v>
      </c>
      <c r="D61" s="6">
        <v>1</v>
      </c>
      <c r="E61" s="15">
        <f t="shared" si="0"/>
        <v>29.37</v>
      </c>
      <c r="F61" s="5">
        <v>30</v>
      </c>
      <c r="G61" s="15">
        <f t="shared" si="1"/>
        <v>881.1</v>
      </c>
      <c r="H61" s="7">
        <v>881.1</v>
      </c>
      <c r="I61" s="10">
        <f t="shared" si="3"/>
        <v>0</v>
      </c>
      <c r="J61" s="10">
        <f t="shared" si="4"/>
        <v>0</v>
      </c>
      <c r="K61" s="10">
        <f t="shared" si="2"/>
        <v>0</v>
      </c>
      <c r="L61" s="192"/>
      <c r="O61" s="14"/>
    </row>
    <row r="62" spans="1:15" ht="14.5" x14ac:dyDescent="0.3">
      <c r="A62" s="179" t="s">
        <v>128</v>
      </c>
      <c r="B62" s="17" t="s">
        <v>130</v>
      </c>
      <c r="C62" s="6">
        <v>17</v>
      </c>
      <c r="D62" s="6">
        <v>1</v>
      </c>
      <c r="E62" s="15">
        <f t="shared" si="0"/>
        <v>17</v>
      </c>
      <c r="F62" s="5">
        <v>3</v>
      </c>
      <c r="G62" s="15">
        <f t="shared" si="1"/>
        <v>51</v>
      </c>
      <c r="H62" s="7">
        <v>51</v>
      </c>
      <c r="I62" s="10">
        <f t="shared" si="3"/>
        <v>0</v>
      </c>
      <c r="J62" s="10">
        <v>0</v>
      </c>
      <c r="K62" s="10">
        <f t="shared" si="2"/>
        <v>0</v>
      </c>
      <c r="L62" s="192"/>
      <c r="O62" s="14"/>
    </row>
    <row r="63" spans="1:15" ht="14.5" x14ac:dyDescent="0.3">
      <c r="A63" s="179" t="s">
        <v>131</v>
      </c>
      <c r="B63" s="17" t="s">
        <v>132</v>
      </c>
      <c r="C63" s="6">
        <v>89</v>
      </c>
      <c r="D63" s="6">
        <f>(1810/2)/89</f>
        <v>10.168539325842696</v>
      </c>
      <c r="E63" s="15">
        <f t="shared" si="0"/>
        <v>904.99999999999989</v>
      </c>
      <c r="F63" s="5">
        <v>2</v>
      </c>
      <c r="G63" s="15">
        <f t="shared" si="1"/>
        <v>1809.9999999999998</v>
      </c>
      <c r="H63" s="7">
        <v>1809.9999999999998</v>
      </c>
      <c r="I63" s="10">
        <f t="shared" si="3"/>
        <v>0</v>
      </c>
      <c r="J63" s="10">
        <v>0</v>
      </c>
      <c r="K63" s="10">
        <f t="shared" si="2"/>
        <v>0</v>
      </c>
      <c r="L63" s="192"/>
      <c r="O63" s="14"/>
    </row>
    <row r="64" spans="1:15" ht="14.5" x14ac:dyDescent="0.3">
      <c r="A64" s="179" t="s">
        <v>133</v>
      </c>
      <c r="B64" s="17" t="s">
        <v>134</v>
      </c>
      <c r="C64" s="6">
        <v>89</v>
      </c>
      <c r="D64" s="6">
        <f>(1810/89)*0.5*0.25</f>
        <v>2.542134831460674</v>
      </c>
      <c r="E64" s="15">
        <f t="shared" si="0"/>
        <v>226.24999999999997</v>
      </c>
      <c r="F64" s="5">
        <v>2</v>
      </c>
      <c r="G64" s="15">
        <f t="shared" si="1"/>
        <v>452.49999999999994</v>
      </c>
      <c r="H64" s="7">
        <v>452.49999999999994</v>
      </c>
      <c r="I64" s="10">
        <v>0</v>
      </c>
      <c r="J64" s="10">
        <f t="shared" si="4"/>
        <v>0</v>
      </c>
      <c r="K64" s="10">
        <f t="shared" si="2"/>
        <v>0</v>
      </c>
      <c r="L64" s="192"/>
      <c r="O64" s="14"/>
    </row>
    <row r="65" spans="1:15" ht="14.5" x14ac:dyDescent="0.3">
      <c r="A65" s="194" t="s">
        <v>135</v>
      </c>
      <c r="B65" s="17" t="s">
        <v>136</v>
      </c>
      <c r="C65" s="6">
        <v>1</v>
      </c>
      <c r="D65" s="6">
        <v>1</v>
      </c>
      <c r="E65" s="15">
        <f t="shared" si="0"/>
        <v>1</v>
      </c>
      <c r="F65" s="5">
        <v>40</v>
      </c>
      <c r="G65" s="15">
        <f t="shared" si="1"/>
        <v>40</v>
      </c>
      <c r="H65" s="7">
        <v>40</v>
      </c>
      <c r="I65" s="10">
        <f t="shared" si="3"/>
        <v>0</v>
      </c>
      <c r="J65" s="10">
        <f t="shared" si="4"/>
        <v>0</v>
      </c>
      <c r="K65" s="10">
        <f t="shared" si="2"/>
        <v>0</v>
      </c>
      <c r="L65" s="192"/>
    </row>
    <row r="66" spans="1:15" ht="14.5" x14ac:dyDescent="0.3">
      <c r="A66" s="195" t="s">
        <v>137</v>
      </c>
      <c r="B66" s="196" t="s">
        <v>138</v>
      </c>
      <c r="C66" s="6">
        <v>89</v>
      </c>
      <c r="D66" s="6">
        <v>1</v>
      </c>
      <c r="E66" s="15">
        <f t="shared" si="0"/>
        <v>89</v>
      </c>
      <c r="F66" s="5">
        <v>8</v>
      </c>
      <c r="G66" s="15">
        <f t="shared" si="1"/>
        <v>712</v>
      </c>
      <c r="H66" s="7">
        <v>712</v>
      </c>
      <c r="I66" s="10">
        <f t="shared" si="3"/>
        <v>0</v>
      </c>
      <c r="J66" s="10">
        <v>0</v>
      </c>
      <c r="K66" s="10">
        <f t="shared" si="2"/>
        <v>0</v>
      </c>
      <c r="L66" s="197"/>
    </row>
    <row r="67" spans="1:15" ht="14.5" x14ac:dyDescent="0.3">
      <c r="A67" s="179" t="s">
        <v>139</v>
      </c>
      <c r="B67" s="17" t="s">
        <v>140</v>
      </c>
      <c r="C67" s="6">
        <v>1</v>
      </c>
      <c r="D67" s="6">
        <v>1</v>
      </c>
      <c r="E67" s="15">
        <f t="shared" si="0"/>
        <v>1</v>
      </c>
      <c r="F67" s="5">
        <v>2</v>
      </c>
      <c r="G67" s="15">
        <f t="shared" si="1"/>
        <v>2</v>
      </c>
      <c r="H67" s="7">
        <v>2</v>
      </c>
      <c r="I67" s="10">
        <f t="shared" si="3"/>
        <v>0</v>
      </c>
      <c r="J67" s="10">
        <v>0</v>
      </c>
      <c r="K67" s="10">
        <f t="shared" si="2"/>
        <v>0</v>
      </c>
      <c r="L67" s="193"/>
    </row>
    <row r="68" spans="1:15" ht="14.5" x14ac:dyDescent="0.3">
      <c r="A68" s="179" t="s">
        <v>141</v>
      </c>
      <c r="B68" s="17" t="s">
        <v>142</v>
      </c>
      <c r="C68" s="6">
        <v>1</v>
      </c>
      <c r="D68" s="6">
        <v>1</v>
      </c>
      <c r="E68" s="15">
        <f t="shared" si="0"/>
        <v>1</v>
      </c>
      <c r="F68" s="5">
        <v>2</v>
      </c>
      <c r="G68" s="15">
        <f t="shared" si="1"/>
        <v>2</v>
      </c>
      <c r="H68" s="7">
        <v>2</v>
      </c>
      <c r="I68" s="10">
        <f t="shared" si="3"/>
        <v>0</v>
      </c>
      <c r="J68" s="10">
        <v>0</v>
      </c>
      <c r="K68" s="10">
        <f t="shared" si="2"/>
        <v>0</v>
      </c>
      <c r="L68" s="193"/>
    </row>
    <row r="69" spans="1:15" ht="33" customHeight="1" thickBot="1" x14ac:dyDescent="0.35">
      <c r="A69" s="198" t="s">
        <v>143</v>
      </c>
      <c r="B69" s="193" t="s">
        <v>144</v>
      </c>
      <c r="C69" s="6">
        <f>(89*0.25)</f>
        <v>22.25</v>
      </c>
      <c r="D69" s="6">
        <v>1</v>
      </c>
      <c r="E69" s="15">
        <f t="shared" si="0"/>
        <v>22.25</v>
      </c>
      <c r="F69" s="5">
        <v>0.25</v>
      </c>
      <c r="G69" s="15">
        <f t="shared" si="1"/>
        <v>5.5625</v>
      </c>
      <c r="H69" s="7">
        <v>5.5625</v>
      </c>
      <c r="I69" s="10">
        <f t="shared" si="3"/>
        <v>0</v>
      </c>
      <c r="J69" s="10">
        <v>0</v>
      </c>
      <c r="K69" s="10">
        <f t="shared" si="2"/>
        <v>0</v>
      </c>
      <c r="L69" s="199"/>
    </row>
    <row r="70" spans="1:15" ht="23.5" customHeight="1" thickBot="1" x14ac:dyDescent="0.35">
      <c r="A70" s="476" t="s">
        <v>145</v>
      </c>
      <c r="B70" s="476"/>
      <c r="C70" s="75">
        <f>C5+1267</f>
        <v>1356</v>
      </c>
      <c r="D70" s="256">
        <f>E70/C70</f>
        <v>6852.9408194933303</v>
      </c>
      <c r="E70" s="75">
        <f>SUM(E5:E69)</f>
        <v>9292587.7512329556</v>
      </c>
      <c r="F70" s="76">
        <f>G70/E70</f>
        <v>0.36041870916770546</v>
      </c>
      <c r="G70" s="256">
        <f>SUM(G5:G69)</f>
        <v>3349222.4821270127</v>
      </c>
      <c r="H70" s="77">
        <f>SUM(H5:H12)+SUM(H14:H69)</f>
        <v>3341858.4821270127</v>
      </c>
      <c r="I70" s="76">
        <f>SUM(I5:I12) + SUM(I14:I69)</f>
        <v>7364</v>
      </c>
      <c r="J70" s="78">
        <f>SUM(J5:J12)+SUM(J14:J69)</f>
        <v>0</v>
      </c>
      <c r="K70" s="200">
        <f t="shared" si="2"/>
        <v>7364</v>
      </c>
      <c r="L70" s="201"/>
    </row>
    <row r="71" spans="1:15" ht="42" customHeight="1" thickBot="1" x14ac:dyDescent="0.35">
      <c r="A71" s="477" t="s">
        <v>146</v>
      </c>
      <c r="B71" s="478"/>
      <c r="C71" s="478"/>
      <c r="D71" s="478"/>
      <c r="E71" s="478"/>
      <c r="F71" s="478"/>
      <c r="G71" s="478"/>
      <c r="H71" s="478"/>
      <c r="I71" s="478"/>
      <c r="J71" s="478"/>
      <c r="K71" s="478"/>
      <c r="L71" s="479"/>
      <c r="M71" s="14"/>
      <c r="N71" s="14"/>
    </row>
    <row r="72" spans="1:15" ht="87" customHeight="1" x14ac:dyDescent="0.3">
      <c r="A72" s="179" t="s">
        <v>40</v>
      </c>
      <c r="B72" s="17" t="s">
        <v>43</v>
      </c>
      <c r="C72" s="202">
        <v>1379126</v>
      </c>
      <c r="D72" s="6">
        <v>1</v>
      </c>
      <c r="E72" s="15">
        <f>C72*D72</f>
        <v>1379126</v>
      </c>
      <c r="F72" s="6">
        <v>0.41749999999999998</v>
      </c>
      <c r="G72" s="15">
        <f>E72*F72</f>
        <v>575785.10499999998</v>
      </c>
      <c r="H72" s="7">
        <v>575785.10499999998</v>
      </c>
      <c r="I72" s="25">
        <v>0</v>
      </c>
      <c r="J72" s="10">
        <v>0</v>
      </c>
      <c r="K72" s="10">
        <f>G72-H72</f>
        <v>0</v>
      </c>
      <c r="L72" s="17"/>
      <c r="M72" s="14"/>
      <c r="N72" s="14"/>
      <c r="O72" s="14"/>
    </row>
    <row r="73" spans="1:15" ht="14.5" x14ac:dyDescent="0.3">
      <c r="A73" s="179" t="s">
        <v>40</v>
      </c>
      <c r="B73" s="17" t="s">
        <v>147</v>
      </c>
      <c r="C73" s="203">
        <v>3400090</v>
      </c>
      <c r="D73" s="6">
        <v>1</v>
      </c>
      <c r="E73" s="15">
        <f t="shared" ref="E73:E82" si="5">C73*D73</f>
        <v>3400090</v>
      </c>
      <c r="F73" s="6">
        <v>0.41749999999999998</v>
      </c>
      <c r="G73" s="15">
        <f t="shared" ref="G73:G82" si="6">E73*F73</f>
        <v>1419537.575</v>
      </c>
      <c r="H73" s="7">
        <v>1419537.575</v>
      </c>
      <c r="I73" s="25">
        <v>0</v>
      </c>
      <c r="J73" s="10">
        <v>0</v>
      </c>
      <c r="K73" s="10">
        <f t="shared" ref="K73:K82" si="7">G73-H73</f>
        <v>0</v>
      </c>
      <c r="L73" s="17"/>
      <c r="M73" s="14"/>
      <c r="N73" s="14"/>
    </row>
    <row r="74" spans="1:15" ht="14.5" x14ac:dyDescent="0.3">
      <c r="A74" s="179" t="s">
        <v>40</v>
      </c>
      <c r="B74" s="17" t="s">
        <v>45</v>
      </c>
      <c r="C74" s="202">
        <v>1464744</v>
      </c>
      <c r="D74" s="6">
        <v>1</v>
      </c>
      <c r="E74" s="15">
        <f t="shared" si="5"/>
        <v>1464744</v>
      </c>
      <c r="F74" s="6">
        <v>0.41749999999999998</v>
      </c>
      <c r="G74" s="15">
        <f t="shared" si="6"/>
        <v>611530.62</v>
      </c>
      <c r="H74" s="7">
        <v>611530.62</v>
      </c>
      <c r="I74" s="25">
        <v>0</v>
      </c>
      <c r="J74" s="10">
        <v>0</v>
      </c>
      <c r="K74" s="10">
        <f t="shared" si="7"/>
        <v>0</v>
      </c>
      <c r="L74" s="17"/>
      <c r="M74" s="14"/>
      <c r="N74" s="14"/>
    </row>
    <row r="75" spans="1:15" ht="28" x14ac:dyDescent="0.3">
      <c r="A75" s="179">
        <v>246.7</v>
      </c>
      <c r="B75" s="17" t="s">
        <v>149</v>
      </c>
      <c r="C75" s="8">
        <v>6243960</v>
      </c>
      <c r="D75" s="6">
        <v>1</v>
      </c>
      <c r="E75" s="15">
        <f t="shared" si="5"/>
        <v>6243960</v>
      </c>
      <c r="F75" s="6">
        <v>0.33400000000000002</v>
      </c>
      <c r="G75" s="15">
        <f t="shared" si="6"/>
        <v>2085482.6400000001</v>
      </c>
      <c r="H75" s="7">
        <v>2085482.6400000001</v>
      </c>
      <c r="I75" s="25">
        <f t="shared" ref="I75:I82" si="8">G75-H75</f>
        <v>0</v>
      </c>
      <c r="J75" s="10">
        <v>0</v>
      </c>
      <c r="K75" s="10">
        <f t="shared" si="7"/>
        <v>0</v>
      </c>
      <c r="L75" s="180"/>
      <c r="M75" s="14"/>
      <c r="N75" s="14"/>
    </row>
    <row r="76" spans="1:15" ht="14.5" x14ac:dyDescent="0.3">
      <c r="A76" s="179" t="s">
        <v>148</v>
      </c>
      <c r="B76" s="17" t="s">
        <v>150</v>
      </c>
      <c r="C76" s="8">
        <v>6243960</v>
      </c>
      <c r="D76" s="6">
        <v>1</v>
      </c>
      <c r="E76" s="15">
        <f t="shared" si="5"/>
        <v>6243960</v>
      </c>
      <c r="F76" s="6">
        <v>0.33400000000000002</v>
      </c>
      <c r="G76" s="15">
        <f t="shared" si="6"/>
        <v>2085482.6400000001</v>
      </c>
      <c r="H76" s="7">
        <v>2085482.6400000001</v>
      </c>
      <c r="I76" s="25">
        <f t="shared" si="8"/>
        <v>0</v>
      </c>
      <c r="J76" s="10">
        <v>0</v>
      </c>
      <c r="K76" s="10">
        <f t="shared" si="7"/>
        <v>0</v>
      </c>
      <c r="L76" s="180"/>
      <c r="M76" s="14"/>
      <c r="N76" s="14"/>
    </row>
    <row r="77" spans="1:15" ht="14.5" x14ac:dyDescent="0.3">
      <c r="A77" s="179">
        <v>246.9</v>
      </c>
      <c r="B77" s="17" t="s">
        <v>151</v>
      </c>
      <c r="C77" s="8">
        <f>(6243960*0.02*0.02)</f>
        <v>2497.5839999999998</v>
      </c>
      <c r="D77" s="6">
        <v>1</v>
      </c>
      <c r="E77" s="15">
        <f t="shared" si="5"/>
        <v>2497.5839999999998</v>
      </c>
      <c r="F77" s="6">
        <v>2</v>
      </c>
      <c r="G77" s="15">
        <f t="shared" si="6"/>
        <v>4995.1679999999997</v>
      </c>
      <c r="H77" s="7">
        <v>4995.1679999999997</v>
      </c>
      <c r="I77" s="25">
        <f t="shared" si="8"/>
        <v>0</v>
      </c>
      <c r="J77" s="10">
        <v>0</v>
      </c>
      <c r="K77" s="10">
        <f t="shared" si="7"/>
        <v>0</v>
      </c>
      <c r="L77" s="180"/>
    </row>
    <row r="78" spans="1:15" ht="40.5" customHeight="1" x14ac:dyDescent="0.3">
      <c r="A78" s="179" t="s">
        <v>59</v>
      </c>
      <c r="B78" s="17" t="s">
        <v>60</v>
      </c>
      <c r="C78" s="8">
        <f>1464744*0.01</f>
        <v>14647.44</v>
      </c>
      <c r="D78" s="6">
        <v>1</v>
      </c>
      <c r="E78" s="15">
        <f t="shared" si="5"/>
        <v>14647.44</v>
      </c>
      <c r="F78" s="6">
        <v>3.3399999999999999E-2</v>
      </c>
      <c r="G78" s="15">
        <f t="shared" si="6"/>
        <v>489.22449599999999</v>
      </c>
      <c r="H78" s="7">
        <v>489.22449599999999</v>
      </c>
      <c r="I78" s="25">
        <v>0</v>
      </c>
      <c r="J78" s="10">
        <f t="shared" ref="J78:J79" si="9">G78-H78</f>
        <v>0</v>
      </c>
      <c r="K78" s="10">
        <f t="shared" si="7"/>
        <v>0</v>
      </c>
      <c r="L78" s="17"/>
    </row>
    <row r="79" spans="1:15" ht="40.5" customHeight="1" x14ac:dyDescent="0.3">
      <c r="A79" s="179" t="s">
        <v>59</v>
      </c>
      <c r="B79" s="17" t="s">
        <v>152</v>
      </c>
      <c r="C79" s="8">
        <f>(3400090*0.01)+(6243960 *0.01)+(1379126*0.01)</f>
        <v>110231.76</v>
      </c>
      <c r="D79" s="6">
        <v>2</v>
      </c>
      <c r="E79" s="15">
        <f t="shared" si="5"/>
        <v>220463.52</v>
      </c>
      <c r="F79" s="6">
        <v>5.0099999999999999E-2</v>
      </c>
      <c r="G79" s="15">
        <f t="shared" si="6"/>
        <v>11045.222351999999</v>
      </c>
      <c r="H79" s="26">
        <v>11045.222351999999</v>
      </c>
      <c r="I79" s="25">
        <v>0</v>
      </c>
      <c r="J79" s="10">
        <f t="shared" si="9"/>
        <v>0</v>
      </c>
      <c r="K79" s="10">
        <f t="shared" si="7"/>
        <v>0</v>
      </c>
      <c r="L79" s="17"/>
    </row>
    <row r="80" spans="1:15" ht="51.75" customHeight="1" x14ac:dyDescent="0.3">
      <c r="A80" s="204" t="s">
        <v>153</v>
      </c>
      <c r="B80" s="193" t="s">
        <v>154</v>
      </c>
      <c r="C80" s="8">
        <v>6243960</v>
      </c>
      <c r="D80" s="6">
        <v>1</v>
      </c>
      <c r="E80" s="15">
        <f t="shared" si="5"/>
        <v>6243960</v>
      </c>
      <c r="F80" s="6">
        <v>0.25</v>
      </c>
      <c r="G80" s="15">
        <f t="shared" si="6"/>
        <v>1560990</v>
      </c>
      <c r="H80" s="26">
        <v>1560990</v>
      </c>
      <c r="I80" s="25">
        <f t="shared" si="8"/>
        <v>0</v>
      </c>
      <c r="J80" s="10">
        <v>0</v>
      </c>
      <c r="K80" s="10">
        <f t="shared" si="7"/>
        <v>0</v>
      </c>
      <c r="L80" s="17"/>
    </row>
    <row r="81" spans="1:12" ht="52.5" customHeight="1" x14ac:dyDescent="0.3">
      <c r="A81" s="204" t="s">
        <v>155</v>
      </c>
      <c r="B81" s="205" t="s">
        <v>156</v>
      </c>
      <c r="C81" s="8">
        <f>((6243960/89)/2)*17</f>
        <v>596333.25842696626</v>
      </c>
      <c r="D81" s="6">
        <v>3</v>
      </c>
      <c r="E81" s="15">
        <f t="shared" si="5"/>
        <v>1788999.7752808989</v>
      </c>
      <c r="F81" s="6">
        <v>0.5</v>
      </c>
      <c r="G81" s="15">
        <f t="shared" si="6"/>
        <v>894499.88764044945</v>
      </c>
      <c r="H81" s="26">
        <v>894499.88764044945</v>
      </c>
      <c r="I81" s="25">
        <f t="shared" si="8"/>
        <v>0</v>
      </c>
      <c r="J81" s="10">
        <v>0</v>
      </c>
      <c r="K81" s="10">
        <f t="shared" si="7"/>
        <v>0</v>
      </c>
      <c r="L81" s="17"/>
    </row>
    <row r="82" spans="1:12" ht="50.25" customHeight="1" thickBot="1" x14ac:dyDescent="0.35">
      <c r="A82" s="204" t="s">
        <v>155</v>
      </c>
      <c r="B82" s="205" t="s">
        <v>157</v>
      </c>
      <c r="C82" s="8">
        <f>((6243960/89)/2)*72</f>
        <v>2525646.7415730339</v>
      </c>
      <c r="D82" s="6">
        <v>1</v>
      </c>
      <c r="E82" s="15">
        <f t="shared" si="5"/>
        <v>2525646.7415730339</v>
      </c>
      <c r="F82" s="6">
        <v>0.5</v>
      </c>
      <c r="G82" s="15">
        <f t="shared" si="6"/>
        <v>1262823.3707865169</v>
      </c>
      <c r="H82" s="26">
        <v>1262823.3707865169</v>
      </c>
      <c r="I82" s="25">
        <f t="shared" si="8"/>
        <v>0</v>
      </c>
      <c r="J82" s="10">
        <v>0</v>
      </c>
      <c r="K82" s="10">
        <f t="shared" si="7"/>
        <v>0</v>
      </c>
      <c r="L82" s="206"/>
    </row>
    <row r="83" spans="1:12" ht="15.75" customHeight="1" thickBot="1" x14ac:dyDescent="0.35">
      <c r="A83" s="480" t="s">
        <v>158</v>
      </c>
      <c r="B83" s="480"/>
      <c r="C83" s="84">
        <f>C72+C73+C74</f>
        <v>6243960</v>
      </c>
      <c r="D83" s="76">
        <f>E83/C83</f>
        <v>4.7290653785184302</v>
      </c>
      <c r="E83" s="75">
        <f>SUM(E72:E82)</f>
        <v>29528095.060853936</v>
      </c>
      <c r="F83" s="76">
        <f>G83/E83</f>
        <v>0.35602233844105435</v>
      </c>
      <c r="G83" s="75">
        <f>SUM(G72:G82)</f>
        <v>10512661.453274965</v>
      </c>
      <c r="H83" s="75">
        <f>SUM(H72:H82)</f>
        <v>10512661.453274965</v>
      </c>
      <c r="I83" s="76">
        <f>SUM(I72:I82)</f>
        <v>0</v>
      </c>
      <c r="J83" s="76">
        <f>SUM(J72:J82)</f>
        <v>0</v>
      </c>
      <c r="K83" s="85">
        <f>SUM(K72:K82)</f>
        <v>0</v>
      </c>
      <c r="L83" s="201"/>
    </row>
    <row r="84" spans="1:12" ht="14.5" thickBot="1" x14ac:dyDescent="0.35">
      <c r="A84" s="477" t="s">
        <v>159</v>
      </c>
      <c r="B84" s="478"/>
      <c r="C84" s="478"/>
      <c r="D84" s="478"/>
      <c r="E84" s="478"/>
      <c r="F84" s="478"/>
      <c r="G84" s="478"/>
      <c r="H84" s="478"/>
      <c r="I84" s="478"/>
      <c r="J84" s="478"/>
      <c r="K84" s="478"/>
      <c r="L84" s="479"/>
    </row>
    <row r="85" spans="1:12" ht="14.5" x14ac:dyDescent="0.3">
      <c r="A85" s="198" t="s">
        <v>29</v>
      </c>
      <c r="B85" s="207" t="s">
        <v>160</v>
      </c>
      <c r="C85" s="208">
        <f>543*0.5</f>
        <v>271.5</v>
      </c>
      <c r="D85" s="208">
        <v>1</v>
      </c>
      <c r="E85" s="209">
        <f>C85*D85</f>
        <v>271.5</v>
      </c>
      <c r="F85" s="210">
        <v>2</v>
      </c>
      <c r="G85" s="211">
        <f>E85*F85</f>
        <v>543</v>
      </c>
      <c r="H85" s="212">
        <v>543</v>
      </c>
      <c r="I85" s="208">
        <f>G85-H85</f>
        <v>0</v>
      </c>
      <c r="J85" s="213">
        <v>0</v>
      </c>
      <c r="K85" s="208">
        <f>G85-H85</f>
        <v>0</v>
      </c>
      <c r="L85" s="193"/>
    </row>
    <row r="86" spans="1:12" ht="14.5" x14ac:dyDescent="0.3">
      <c r="A86" s="198">
        <v>246.6</v>
      </c>
      <c r="B86" s="207" t="s">
        <v>161</v>
      </c>
      <c r="C86" s="208">
        <f>1810*0.5*0.3</f>
        <v>271.5</v>
      </c>
      <c r="D86" s="208">
        <v>1</v>
      </c>
      <c r="E86" s="209">
        <f>C86*D86</f>
        <v>271.5</v>
      </c>
      <c r="F86" s="210">
        <v>1.5</v>
      </c>
      <c r="G86" s="211">
        <f>E86*F86</f>
        <v>407.25</v>
      </c>
      <c r="H86" s="212">
        <v>407.25</v>
      </c>
      <c r="I86" s="213">
        <f>G86-H86</f>
        <v>0</v>
      </c>
      <c r="J86" s="213">
        <v>0</v>
      </c>
      <c r="K86" s="213">
        <f t="shared" ref="K86:K107" si="10">G86-H86</f>
        <v>0</v>
      </c>
      <c r="L86" s="214"/>
    </row>
    <row r="87" spans="1:12" ht="14.5" x14ac:dyDescent="0.3">
      <c r="A87" s="179" t="s">
        <v>38</v>
      </c>
      <c r="B87" s="187" t="s">
        <v>39</v>
      </c>
      <c r="C87" s="208">
        <f>(1810*0.3)/6</f>
        <v>90.5</v>
      </c>
      <c r="D87" s="208">
        <v>1</v>
      </c>
      <c r="E87" s="209">
        <f>C87*D87</f>
        <v>90.5</v>
      </c>
      <c r="F87" s="210">
        <v>0.25</v>
      </c>
      <c r="G87" s="215">
        <f>E87*F87</f>
        <v>22.625</v>
      </c>
      <c r="H87" s="212">
        <v>22.625</v>
      </c>
      <c r="I87" s="213">
        <f>G87-H87</f>
        <v>0</v>
      </c>
      <c r="J87" s="213">
        <v>0</v>
      </c>
      <c r="K87" s="213">
        <f t="shared" si="10"/>
        <v>0</v>
      </c>
      <c r="L87" s="214"/>
    </row>
    <row r="88" spans="1:12" ht="14.5" x14ac:dyDescent="0.3">
      <c r="A88" s="179" t="s">
        <v>40</v>
      </c>
      <c r="B88" s="187" t="s">
        <v>43</v>
      </c>
      <c r="C88" s="208">
        <f>1810*0.3</f>
        <v>543</v>
      </c>
      <c r="D88" s="216">
        <f>(0.3*1379126)/543</f>
        <v>761.9480662983425</v>
      </c>
      <c r="E88" s="217">
        <f t="shared" ref="E88:E107" si="11">C88*D88</f>
        <v>413737.8</v>
      </c>
      <c r="F88" s="218">
        <v>0.41749999999999998</v>
      </c>
      <c r="G88" s="215">
        <f t="shared" ref="G88:G107" si="12">E88*F88</f>
        <v>172735.53149999998</v>
      </c>
      <c r="H88" s="212">
        <v>172735.53149999998</v>
      </c>
      <c r="I88" s="213">
        <f t="shared" ref="I88:I107" si="13">G88-H88</f>
        <v>0</v>
      </c>
      <c r="J88" s="213">
        <v>0</v>
      </c>
      <c r="K88" s="213">
        <f t="shared" si="10"/>
        <v>0</v>
      </c>
      <c r="L88" s="214"/>
    </row>
    <row r="89" spans="1:12" ht="14.5" x14ac:dyDescent="0.3">
      <c r="A89" s="179" t="s">
        <v>40</v>
      </c>
      <c r="B89" s="187" t="s">
        <v>147</v>
      </c>
      <c r="C89" s="208">
        <f>1810*0.3</f>
        <v>543</v>
      </c>
      <c r="D89" s="219">
        <f>(0.3*3400090)/543</f>
        <v>1878.5027624309391</v>
      </c>
      <c r="E89" s="217">
        <f t="shared" si="11"/>
        <v>1020027</v>
      </c>
      <c r="F89" s="218">
        <v>0.41749999999999998</v>
      </c>
      <c r="G89" s="215">
        <f t="shared" si="12"/>
        <v>425861.27249999996</v>
      </c>
      <c r="H89" s="212">
        <v>425861.27249999996</v>
      </c>
      <c r="I89" s="213">
        <f t="shared" si="13"/>
        <v>0</v>
      </c>
      <c r="J89" s="213">
        <v>0</v>
      </c>
      <c r="K89" s="213">
        <f t="shared" si="10"/>
        <v>0</v>
      </c>
      <c r="L89" s="214"/>
    </row>
    <row r="90" spans="1:12" ht="14.5" x14ac:dyDescent="0.3">
      <c r="A90" s="179" t="s">
        <v>40</v>
      </c>
      <c r="B90" s="187" t="s">
        <v>45</v>
      </c>
      <c r="C90" s="208">
        <f>1810*0.3</f>
        <v>543</v>
      </c>
      <c r="D90" s="219">
        <f>(1*0.3*1464744)/543</f>
        <v>809.25082872928181</v>
      </c>
      <c r="E90" s="217">
        <f t="shared" si="11"/>
        <v>439423.2</v>
      </c>
      <c r="F90" s="218">
        <v>0.41749999999999998</v>
      </c>
      <c r="G90" s="215">
        <f t="shared" si="12"/>
        <v>183459.18599999999</v>
      </c>
      <c r="H90" s="212">
        <v>183459.18599999999</v>
      </c>
      <c r="I90" s="213">
        <f t="shared" si="13"/>
        <v>0</v>
      </c>
      <c r="J90" s="213">
        <v>0</v>
      </c>
      <c r="K90" s="213">
        <f t="shared" si="10"/>
        <v>0</v>
      </c>
      <c r="L90" s="214"/>
    </row>
    <row r="91" spans="1:12" ht="14.5" x14ac:dyDescent="0.3">
      <c r="A91" s="179" t="s">
        <v>48</v>
      </c>
      <c r="B91" s="187" t="s">
        <v>49</v>
      </c>
      <c r="C91" s="6">
        <f>0.3*1810</f>
        <v>543</v>
      </c>
      <c r="D91" s="6">
        <f>(0.03*6243960/543)*0.3</f>
        <v>103.49104972375689</v>
      </c>
      <c r="E91" s="15">
        <f t="shared" si="11"/>
        <v>56195.639999999992</v>
      </c>
      <c r="F91" s="5">
        <v>8.3500000000000005E-2</v>
      </c>
      <c r="G91" s="94">
        <f t="shared" si="12"/>
        <v>4692.3359399999999</v>
      </c>
      <c r="H91" s="26">
        <v>4692.3359399999999</v>
      </c>
      <c r="I91" s="10">
        <f>G91-H91</f>
        <v>0</v>
      </c>
      <c r="J91" s="10">
        <v>0</v>
      </c>
      <c r="K91" s="10">
        <f t="shared" si="10"/>
        <v>0</v>
      </c>
      <c r="L91" s="214"/>
    </row>
    <row r="92" spans="1:12" ht="28" x14ac:dyDescent="0.3">
      <c r="A92" s="179" t="s">
        <v>59</v>
      </c>
      <c r="B92" s="187" t="s">
        <v>60</v>
      </c>
      <c r="C92" s="6">
        <f>0.3*1810</f>
        <v>543</v>
      </c>
      <c r="D92" s="6">
        <f>(1464744*0.3*0.01)/543</f>
        <v>8.0925082872928176</v>
      </c>
      <c r="E92" s="15">
        <f t="shared" si="11"/>
        <v>4394.232</v>
      </c>
      <c r="F92" s="5">
        <v>3.3399999999999999E-2</v>
      </c>
      <c r="G92" s="215">
        <f t="shared" si="12"/>
        <v>146.76734880000001</v>
      </c>
      <c r="H92" s="26">
        <v>146.76734880000001</v>
      </c>
      <c r="I92" s="10">
        <f>G92-H92</f>
        <v>0</v>
      </c>
      <c r="J92" s="10">
        <v>0</v>
      </c>
      <c r="K92" s="10">
        <f t="shared" si="10"/>
        <v>0</v>
      </c>
      <c r="L92" s="214"/>
    </row>
    <row r="93" spans="1:12" ht="28" x14ac:dyDescent="0.3">
      <c r="A93" s="179" t="s">
        <v>63</v>
      </c>
      <c r="B93" s="187" t="s">
        <v>64</v>
      </c>
      <c r="C93" s="6">
        <f>0.3*1810</f>
        <v>543</v>
      </c>
      <c r="D93" s="6">
        <f>(6243960*0.3)/543</f>
        <v>3449.7016574585637</v>
      </c>
      <c r="E93" s="15">
        <f t="shared" si="11"/>
        <v>1873188</v>
      </c>
      <c r="F93" s="5">
        <v>0.25</v>
      </c>
      <c r="G93" s="94">
        <f t="shared" si="12"/>
        <v>468297</v>
      </c>
      <c r="H93" s="26">
        <v>468297</v>
      </c>
      <c r="I93" s="10">
        <f t="shared" ref="I93" si="14">G93-H93</f>
        <v>0</v>
      </c>
      <c r="J93" s="10">
        <v>0</v>
      </c>
      <c r="K93" s="213">
        <f t="shared" si="10"/>
        <v>0</v>
      </c>
      <c r="L93" s="214"/>
    </row>
    <row r="94" spans="1:12" ht="14.5" x14ac:dyDescent="0.3">
      <c r="A94" s="179" t="s">
        <v>65</v>
      </c>
      <c r="B94" s="187" t="s">
        <v>66</v>
      </c>
      <c r="C94" s="6">
        <f>0.3*1810</f>
        <v>543</v>
      </c>
      <c r="D94" s="6">
        <v>1</v>
      </c>
      <c r="E94" s="15">
        <f t="shared" si="11"/>
        <v>543</v>
      </c>
      <c r="F94" s="5">
        <v>40</v>
      </c>
      <c r="G94" s="15">
        <f t="shared" si="12"/>
        <v>21720</v>
      </c>
      <c r="H94" s="7">
        <v>21720</v>
      </c>
      <c r="I94" s="10">
        <f>G94-H94</f>
        <v>0</v>
      </c>
      <c r="J94" s="10">
        <v>0</v>
      </c>
      <c r="K94" s="213">
        <f t="shared" si="10"/>
        <v>0</v>
      </c>
      <c r="L94" s="214"/>
    </row>
    <row r="95" spans="1:12" ht="41.25" customHeight="1" x14ac:dyDescent="0.3">
      <c r="A95" s="179" t="s">
        <v>71</v>
      </c>
      <c r="B95" s="17" t="s">
        <v>162</v>
      </c>
      <c r="C95" s="6">
        <v>840</v>
      </c>
      <c r="D95" s="6">
        <v>1</v>
      </c>
      <c r="E95" s="15">
        <f t="shared" si="11"/>
        <v>840</v>
      </c>
      <c r="F95" s="5">
        <v>2</v>
      </c>
      <c r="G95" s="15">
        <f t="shared" si="12"/>
        <v>1680</v>
      </c>
      <c r="H95" s="7">
        <v>1680</v>
      </c>
      <c r="I95" s="208">
        <v>0</v>
      </c>
      <c r="J95" s="213">
        <f t="shared" ref="J95:J100" si="15">G95-H95</f>
        <v>0</v>
      </c>
      <c r="K95" s="213">
        <f t="shared" si="10"/>
        <v>0</v>
      </c>
      <c r="L95" s="214"/>
    </row>
    <row r="96" spans="1:12" ht="41.25" customHeight="1" x14ac:dyDescent="0.3">
      <c r="A96" s="179" t="s">
        <v>73</v>
      </c>
      <c r="B96" s="17" t="s">
        <v>74</v>
      </c>
      <c r="C96" s="6">
        <f>(79/89)*37417</f>
        <v>33212.84269662921</v>
      </c>
      <c r="D96" s="6">
        <v>2</v>
      </c>
      <c r="E96" s="15">
        <f t="shared" si="11"/>
        <v>66425.68539325842</v>
      </c>
      <c r="F96" s="5">
        <v>2</v>
      </c>
      <c r="G96" s="15">
        <f t="shared" si="12"/>
        <v>132851.37078651684</v>
      </c>
      <c r="H96" s="7">
        <v>132851.37078651684</v>
      </c>
      <c r="I96" s="208">
        <v>0</v>
      </c>
      <c r="J96" s="213">
        <f t="shared" si="15"/>
        <v>0</v>
      </c>
      <c r="K96" s="213">
        <f t="shared" si="10"/>
        <v>0</v>
      </c>
      <c r="L96" s="180"/>
    </row>
    <row r="97" spans="1:15" ht="41.25" customHeight="1" x14ac:dyDescent="0.3">
      <c r="A97" s="179" t="s">
        <v>78</v>
      </c>
      <c r="B97" s="17" t="s">
        <v>79</v>
      </c>
      <c r="C97" s="6">
        <f>89*17</f>
        <v>1513</v>
      </c>
      <c r="D97" s="6">
        <v>1</v>
      </c>
      <c r="E97" s="15">
        <f t="shared" si="11"/>
        <v>1513</v>
      </c>
      <c r="F97" s="5">
        <v>0.66800000000000004</v>
      </c>
      <c r="G97" s="15">
        <f t="shared" si="12"/>
        <v>1010.6840000000001</v>
      </c>
      <c r="H97" s="7">
        <v>1010.6840000000001</v>
      </c>
      <c r="I97" s="10">
        <f t="shared" si="13"/>
        <v>0</v>
      </c>
      <c r="J97" s="213">
        <v>0</v>
      </c>
      <c r="K97" s="213">
        <f t="shared" si="10"/>
        <v>0</v>
      </c>
      <c r="L97" s="180"/>
    </row>
    <row r="98" spans="1:15" ht="41.25" customHeight="1" x14ac:dyDescent="0.3">
      <c r="A98" s="179" t="s">
        <v>82</v>
      </c>
      <c r="B98" s="17" t="s">
        <v>163</v>
      </c>
      <c r="C98" s="6">
        <f>0.33*37417</f>
        <v>12347.61</v>
      </c>
      <c r="D98" s="6">
        <v>1</v>
      </c>
      <c r="E98" s="15">
        <f t="shared" si="11"/>
        <v>12347.61</v>
      </c>
      <c r="F98" s="5">
        <v>1</v>
      </c>
      <c r="G98" s="15">
        <f t="shared" si="12"/>
        <v>12347.61</v>
      </c>
      <c r="H98" s="7">
        <v>12347.61</v>
      </c>
      <c r="I98" s="208">
        <v>0</v>
      </c>
      <c r="J98" s="213">
        <f t="shared" si="15"/>
        <v>0</v>
      </c>
      <c r="K98" s="213">
        <f t="shared" si="10"/>
        <v>0</v>
      </c>
      <c r="L98" s="180"/>
    </row>
    <row r="99" spans="1:15" ht="41.25" customHeight="1" x14ac:dyDescent="0.3">
      <c r="A99" s="220" t="s">
        <v>164</v>
      </c>
      <c r="B99" s="17" t="s">
        <v>165</v>
      </c>
      <c r="C99" s="163">
        <v>37417</v>
      </c>
      <c r="D99" s="6">
        <v>1</v>
      </c>
      <c r="E99" s="15">
        <f t="shared" si="11"/>
        <v>37417</v>
      </c>
      <c r="F99" s="5">
        <v>1</v>
      </c>
      <c r="G99" s="15">
        <f t="shared" si="12"/>
        <v>37417</v>
      </c>
      <c r="H99" s="7">
        <v>37417</v>
      </c>
      <c r="I99" s="213">
        <f>G99-H99</f>
        <v>0</v>
      </c>
      <c r="J99" s="213">
        <v>0</v>
      </c>
      <c r="K99" s="213">
        <f t="shared" si="10"/>
        <v>0</v>
      </c>
      <c r="L99" s="214"/>
    </row>
    <row r="100" spans="1:15" ht="41.25" customHeight="1" x14ac:dyDescent="0.3">
      <c r="A100" s="220" t="s">
        <v>166</v>
      </c>
      <c r="B100" s="17" t="s">
        <v>167</v>
      </c>
      <c r="C100" s="6">
        <f>(4/10)*850</f>
        <v>340</v>
      </c>
      <c r="D100" s="6">
        <v>1</v>
      </c>
      <c r="E100" s="15">
        <f t="shared" si="11"/>
        <v>340</v>
      </c>
      <c r="F100" s="5">
        <v>1</v>
      </c>
      <c r="G100" s="15">
        <f t="shared" si="12"/>
        <v>340</v>
      </c>
      <c r="H100" s="7">
        <v>340</v>
      </c>
      <c r="I100" s="208">
        <v>0</v>
      </c>
      <c r="J100" s="213">
        <f t="shared" si="15"/>
        <v>0</v>
      </c>
      <c r="K100" s="208">
        <f t="shared" si="10"/>
        <v>0</v>
      </c>
      <c r="L100" s="214"/>
    </row>
    <row r="101" spans="1:15" ht="34.5" customHeight="1" x14ac:dyDescent="0.3">
      <c r="A101" s="204" t="s">
        <v>168</v>
      </c>
      <c r="B101" s="221" t="s">
        <v>169</v>
      </c>
      <c r="C101" s="178">
        <v>37417</v>
      </c>
      <c r="D101" s="6">
        <v>1</v>
      </c>
      <c r="E101" s="15">
        <f>C101*D101</f>
        <v>37417</v>
      </c>
      <c r="F101" s="5">
        <v>2</v>
      </c>
      <c r="G101" s="15">
        <f t="shared" si="12"/>
        <v>74834</v>
      </c>
      <c r="H101" s="7">
        <v>74834</v>
      </c>
      <c r="I101" s="213">
        <f>G101-H101</f>
        <v>0</v>
      </c>
      <c r="J101" s="213">
        <v>0</v>
      </c>
      <c r="K101" s="213">
        <f t="shared" si="10"/>
        <v>0</v>
      </c>
      <c r="L101" s="214"/>
      <c r="O101" s="14"/>
    </row>
    <row r="102" spans="1:15" ht="21" customHeight="1" x14ac:dyDescent="0.3">
      <c r="A102" s="204" t="s">
        <v>105</v>
      </c>
      <c r="B102" s="221" t="s">
        <v>170</v>
      </c>
      <c r="C102" s="6">
        <f>3289*0.33</f>
        <v>1085.3700000000001</v>
      </c>
      <c r="D102" s="6">
        <v>1</v>
      </c>
      <c r="E102" s="15">
        <f t="shared" si="11"/>
        <v>1085.3700000000001</v>
      </c>
      <c r="F102" s="5">
        <v>1</v>
      </c>
      <c r="G102" s="15">
        <f t="shared" si="12"/>
        <v>1085.3700000000001</v>
      </c>
      <c r="H102" s="7">
        <v>1085.3700000000001</v>
      </c>
      <c r="I102" s="213">
        <f t="shared" si="13"/>
        <v>0</v>
      </c>
      <c r="J102" s="213">
        <v>0</v>
      </c>
      <c r="K102" s="213">
        <f t="shared" si="10"/>
        <v>0</v>
      </c>
      <c r="L102" s="193"/>
    </row>
    <row r="103" spans="1:15" ht="15.75" customHeight="1" x14ac:dyDescent="0.3">
      <c r="A103" s="204" t="s">
        <v>171</v>
      </c>
      <c r="B103" s="221" t="s">
        <v>172</v>
      </c>
      <c r="C103" s="6">
        <v>3289</v>
      </c>
      <c r="D103" s="6">
        <v>1</v>
      </c>
      <c r="E103" s="15">
        <f t="shared" si="11"/>
        <v>3289</v>
      </c>
      <c r="F103" s="5">
        <v>2</v>
      </c>
      <c r="G103" s="15">
        <f t="shared" si="12"/>
        <v>6578</v>
      </c>
      <c r="H103" s="7">
        <v>6578</v>
      </c>
      <c r="I103" s="213">
        <f t="shared" si="13"/>
        <v>0</v>
      </c>
      <c r="J103" s="213">
        <v>0</v>
      </c>
      <c r="K103" s="213">
        <f t="shared" si="10"/>
        <v>0</v>
      </c>
      <c r="L103" s="193"/>
    </row>
    <row r="104" spans="1:15" ht="15.75" customHeight="1" x14ac:dyDescent="0.3">
      <c r="A104" s="204" t="s">
        <v>119</v>
      </c>
      <c r="B104" s="221" t="s">
        <v>173</v>
      </c>
      <c r="C104" s="6">
        <v>3</v>
      </c>
      <c r="D104" s="6">
        <v>12</v>
      </c>
      <c r="E104" s="209">
        <f t="shared" si="11"/>
        <v>36</v>
      </c>
      <c r="F104" s="5">
        <v>4</v>
      </c>
      <c r="G104" s="211">
        <f t="shared" si="12"/>
        <v>144</v>
      </c>
      <c r="H104" s="7">
        <v>144</v>
      </c>
      <c r="I104" s="208">
        <f t="shared" si="13"/>
        <v>0</v>
      </c>
      <c r="J104" s="213">
        <v>0</v>
      </c>
      <c r="K104" s="208">
        <f t="shared" si="10"/>
        <v>0</v>
      </c>
      <c r="L104" s="193"/>
    </row>
    <row r="105" spans="1:15" ht="15.75" customHeight="1" x14ac:dyDescent="0.35">
      <c r="A105" s="257" t="s">
        <v>243</v>
      </c>
      <c r="B105" s="258" t="s">
        <v>245</v>
      </c>
      <c r="C105" s="251">
        <v>1</v>
      </c>
      <c r="D105" s="251">
        <v>1</v>
      </c>
      <c r="E105" s="252">
        <f>C105*D105</f>
        <v>1</v>
      </c>
      <c r="F105" s="253">
        <v>4</v>
      </c>
      <c r="G105" s="252">
        <f>E105*F105</f>
        <v>4</v>
      </c>
      <c r="H105" s="254">
        <v>0</v>
      </c>
      <c r="I105" s="251">
        <f>G105-H105</f>
        <v>4</v>
      </c>
      <c r="J105" s="255">
        <v>0</v>
      </c>
      <c r="K105" s="259">
        <v>4</v>
      </c>
      <c r="L105" s="260" t="s">
        <v>246</v>
      </c>
    </row>
    <row r="106" spans="1:15" ht="15" customHeight="1" x14ac:dyDescent="0.3">
      <c r="A106" s="204" t="s">
        <v>174</v>
      </c>
      <c r="B106" s="221" t="s">
        <v>175</v>
      </c>
      <c r="C106" s="6">
        <f>(1048*0.02)</f>
        <v>20.96</v>
      </c>
      <c r="D106" s="6">
        <v>1</v>
      </c>
      <c r="E106" s="209">
        <f t="shared" si="11"/>
        <v>20.96</v>
      </c>
      <c r="F106" s="5">
        <v>2</v>
      </c>
      <c r="G106" s="211">
        <f t="shared" si="12"/>
        <v>41.92</v>
      </c>
      <c r="H106" s="7">
        <v>41.92</v>
      </c>
      <c r="I106" s="208">
        <f t="shared" si="13"/>
        <v>0</v>
      </c>
      <c r="J106" s="213">
        <v>0</v>
      </c>
      <c r="K106" s="208">
        <f t="shared" si="10"/>
        <v>0</v>
      </c>
      <c r="L106" s="193"/>
    </row>
    <row r="107" spans="1:15" ht="15" customHeight="1" thickBot="1" x14ac:dyDescent="0.35">
      <c r="A107" s="204" t="s">
        <v>176</v>
      </c>
      <c r="B107" s="221" t="s">
        <v>177</v>
      </c>
      <c r="C107" s="6">
        <f>3289*0.02*0.02</f>
        <v>1.3156000000000001</v>
      </c>
      <c r="D107" s="6">
        <v>1</v>
      </c>
      <c r="E107" s="209">
        <f t="shared" si="11"/>
        <v>1.3156000000000001</v>
      </c>
      <c r="F107" s="5">
        <v>2</v>
      </c>
      <c r="G107" s="211">
        <f t="shared" si="12"/>
        <v>2.6312000000000002</v>
      </c>
      <c r="H107" s="7">
        <v>2.6312000000000002</v>
      </c>
      <c r="I107" s="219">
        <f t="shared" si="13"/>
        <v>0</v>
      </c>
      <c r="J107" s="213">
        <v>0</v>
      </c>
      <c r="K107" s="219">
        <f t="shared" si="10"/>
        <v>0</v>
      </c>
      <c r="L107" s="193"/>
    </row>
    <row r="108" spans="1:15" ht="14.5" thickBot="1" x14ac:dyDescent="0.35">
      <c r="A108" s="466" t="s">
        <v>178</v>
      </c>
      <c r="B108" s="466"/>
      <c r="C108" s="261">
        <f>37417+543</f>
        <v>37960</v>
      </c>
      <c r="D108" s="98">
        <f>+E108/C108</f>
        <v>104.55417052142408</v>
      </c>
      <c r="E108" s="99">
        <f>SUM(E85:E107)</f>
        <v>3968876.3129932582</v>
      </c>
      <c r="F108" s="100">
        <f>+G108/E108</f>
        <v>0.3895867324495137</v>
      </c>
      <c r="G108" s="97">
        <f>SUM(G85:G107)</f>
        <v>1546221.5542753169</v>
      </c>
      <c r="H108" s="101">
        <f>SUM(H85:H107)</f>
        <v>1546217.5542753169</v>
      </c>
      <c r="I108" s="100">
        <f>SUM(I85:I107)</f>
        <v>4</v>
      </c>
      <c r="J108" s="102">
        <f>SUM(J85:J107)</f>
        <v>0</v>
      </c>
      <c r="K108" s="99">
        <f>SUM(K85:K107)</f>
        <v>4</v>
      </c>
      <c r="L108" s="201"/>
    </row>
    <row r="109" spans="1:15" ht="14.5" thickBot="1" x14ac:dyDescent="0.35">
      <c r="A109" s="466" t="s">
        <v>179</v>
      </c>
      <c r="B109" s="466"/>
      <c r="C109" s="262">
        <f>SUM(C70,C83,C108)</f>
        <v>6283276</v>
      </c>
      <c r="D109" s="104">
        <f>E109/C109</f>
        <v>6.8100715494719877</v>
      </c>
      <c r="E109" s="103">
        <f>SUM(E70,E83,E108)</f>
        <v>42789559.125080153</v>
      </c>
      <c r="F109" s="13">
        <f>+G109/E109</f>
        <v>0.36009030718538476</v>
      </c>
      <c r="G109" s="103">
        <f>SUM(G70+G83+G108)</f>
        <v>15408105.489677295</v>
      </c>
      <c r="H109" s="105">
        <f>SUM(H108+H83+H70)</f>
        <v>15400737.489677295</v>
      </c>
      <c r="I109" s="3">
        <f>SUM(I70,I83,I108)</f>
        <v>7368</v>
      </c>
      <c r="J109" s="103">
        <f>J108+J83+J70</f>
        <v>0</v>
      </c>
      <c r="K109" s="106">
        <f>K108+K83+K70</f>
        <v>7368</v>
      </c>
      <c r="L109" s="222"/>
    </row>
    <row r="110" spans="1:15" ht="33" customHeight="1" x14ac:dyDescent="0.3">
      <c r="A110" s="468" t="s">
        <v>180</v>
      </c>
      <c r="B110" s="468"/>
      <c r="C110" s="468"/>
      <c r="D110" s="468"/>
      <c r="E110" s="468"/>
      <c r="F110" s="468"/>
      <c r="G110" s="468"/>
      <c r="H110" s="468"/>
      <c r="I110" s="468"/>
      <c r="J110" s="468"/>
      <c r="K110" s="468"/>
      <c r="L110" s="469"/>
    </row>
    <row r="111" spans="1:15" ht="33" customHeight="1" x14ac:dyDescent="0.3">
      <c r="A111" s="470" t="s">
        <v>23</v>
      </c>
      <c r="B111" s="470"/>
      <c r="C111" s="470"/>
      <c r="D111" s="470"/>
      <c r="E111" s="470"/>
      <c r="F111" s="470"/>
      <c r="G111" s="470"/>
      <c r="H111" s="470"/>
      <c r="I111" s="470"/>
      <c r="J111" s="470"/>
      <c r="K111" s="470"/>
      <c r="L111" s="471"/>
    </row>
    <row r="112" spans="1:15" ht="14.5" x14ac:dyDescent="0.3">
      <c r="A112" s="204" t="s">
        <v>181</v>
      </c>
      <c r="B112" s="193" t="s">
        <v>182</v>
      </c>
      <c r="C112" s="223">
        <v>89</v>
      </c>
      <c r="D112" s="223">
        <v>1</v>
      </c>
      <c r="E112" s="224">
        <f>C112*D112</f>
        <v>89</v>
      </c>
      <c r="F112" s="223">
        <v>0.16700000000000001</v>
      </c>
      <c r="G112" s="224">
        <f>E112*F112</f>
        <v>14.863000000000001</v>
      </c>
      <c r="H112" s="225">
        <v>14.863000000000001</v>
      </c>
      <c r="I112" s="223">
        <f>G112-H112</f>
        <v>0</v>
      </c>
      <c r="J112" s="223">
        <v>0</v>
      </c>
      <c r="K112" s="223">
        <f>G112-H112</f>
        <v>0</v>
      </c>
      <c r="L112" s="193"/>
    </row>
    <row r="113" spans="1:15" ht="28" x14ac:dyDescent="0.3">
      <c r="A113" s="263" t="s">
        <v>247</v>
      </c>
      <c r="B113" s="264" t="s">
        <v>248</v>
      </c>
      <c r="C113" s="264">
        <v>15</v>
      </c>
      <c r="D113" s="264">
        <v>1</v>
      </c>
      <c r="E113" s="265">
        <f>C113*D113</f>
        <v>15</v>
      </c>
      <c r="F113" s="264">
        <v>2</v>
      </c>
      <c r="G113" s="265">
        <f>E113*F113</f>
        <v>30</v>
      </c>
      <c r="H113" s="264">
        <v>0</v>
      </c>
      <c r="I113" s="264">
        <f>G113-H113</f>
        <v>30</v>
      </c>
      <c r="J113" s="255">
        <v>0</v>
      </c>
      <c r="K113" s="223">
        <v>30</v>
      </c>
      <c r="L113" s="255" t="s">
        <v>230</v>
      </c>
    </row>
    <row r="114" spans="1:15" ht="14.5" x14ac:dyDescent="0.3">
      <c r="A114" s="220" t="s">
        <v>59</v>
      </c>
      <c r="B114" s="17" t="s">
        <v>152</v>
      </c>
      <c r="C114" s="6">
        <f>1810*0.7</f>
        <v>1267</v>
      </c>
      <c r="D114" s="6">
        <f>(10000/1267)*2*0.7</f>
        <v>11.049723756906078</v>
      </c>
      <c r="E114" s="226">
        <f t="shared" ref="E114:E129" si="16">C114*D114</f>
        <v>14000</v>
      </c>
      <c r="F114" s="111">
        <v>1.67E-2</v>
      </c>
      <c r="G114" s="226">
        <f t="shared" ref="G114:G129" si="17">E114*F114</f>
        <v>233.79999999999998</v>
      </c>
      <c r="H114" s="7">
        <v>233.79999999999998</v>
      </c>
      <c r="I114" s="227">
        <f>G114-H114</f>
        <v>0</v>
      </c>
      <c r="J114" s="223">
        <v>0</v>
      </c>
      <c r="K114" s="223">
        <f t="shared" ref="K114:K129" si="18">G114-H114</f>
        <v>0</v>
      </c>
      <c r="L114" s="180"/>
    </row>
    <row r="115" spans="1:15" ht="14.5" x14ac:dyDescent="0.3">
      <c r="A115" s="220" t="s">
        <v>183</v>
      </c>
      <c r="B115" s="17" t="s">
        <v>184</v>
      </c>
      <c r="C115" s="6">
        <v>89</v>
      </c>
      <c r="D115" s="6">
        <v>1</v>
      </c>
      <c r="E115" s="226">
        <f t="shared" si="16"/>
        <v>89</v>
      </c>
      <c r="F115" s="111">
        <v>50</v>
      </c>
      <c r="G115" s="226">
        <f t="shared" si="17"/>
        <v>4450</v>
      </c>
      <c r="H115" s="7">
        <v>4450</v>
      </c>
      <c r="I115" s="223">
        <f t="shared" ref="I115:I129" si="19">G115-H115</f>
        <v>0</v>
      </c>
      <c r="J115" s="223">
        <f t="shared" ref="J115:J125" si="20">G115-H115</f>
        <v>0</v>
      </c>
      <c r="K115" s="223">
        <f t="shared" si="18"/>
        <v>0</v>
      </c>
      <c r="L115" s="180"/>
    </row>
    <row r="116" spans="1:15" ht="14.5" x14ac:dyDescent="0.3">
      <c r="A116" s="220" t="s">
        <v>185</v>
      </c>
      <c r="B116" s="17" t="s">
        <v>186</v>
      </c>
      <c r="C116" s="6">
        <v>89</v>
      </c>
      <c r="D116" s="6">
        <f>((37417*0.33)/89)</f>
        <v>138.73719101123595</v>
      </c>
      <c r="E116" s="226">
        <f t="shared" si="16"/>
        <v>12347.609999999999</v>
      </c>
      <c r="F116" s="111">
        <v>1</v>
      </c>
      <c r="G116" s="226">
        <f t="shared" si="17"/>
        <v>12347.609999999999</v>
      </c>
      <c r="H116" s="7">
        <v>12347.609999999999</v>
      </c>
      <c r="I116" s="223">
        <v>0</v>
      </c>
      <c r="J116" s="223">
        <f t="shared" si="20"/>
        <v>0</v>
      </c>
      <c r="K116" s="223">
        <f t="shared" si="18"/>
        <v>0</v>
      </c>
      <c r="L116" s="228"/>
    </row>
    <row r="117" spans="1:15" ht="14.5" x14ac:dyDescent="0.3">
      <c r="A117" s="220" t="s">
        <v>166</v>
      </c>
      <c r="B117" s="17" t="s">
        <v>167</v>
      </c>
      <c r="C117" s="6">
        <f>(4/10)*973</f>
        <v>389.20000000000005</v>
      </c>
      <c r="D117" s="6">
        <v>1</v>
      </c>
      <c r="E117" s="226">
        <f t="shared" si="16"/>
        <v>389.20000000000005</v>
      </c>
      <c r="F117" s="111">
        <v>1</v>
      </c>
      <c r="G117" s="226">
        <f t="shared" si="17"/>
        <v>389.20000000000005</v>
      </c>
      <c r="H117" s="7">
        <v>389.20000000000005</v>
      </c>
      <c r="I117" s="223">
        <f t="shared" si="19"/>
        <v>0</v>
      </c>
      <c r="J117" s="223">
        <f t="shared" si="20"/>
        <v>0</v>
      </c>
      <c r="K117" s="223">
        <f t="shared" si="18"/>
        <v>0</v>
      </c>
      <c r="L117" s="51"/>
    </row>
    <row r="118" spans="1:15" ht="14.5" x14ac:dyDescent="0.3">
      <c r="A118" s="179" t="s">
        <v>187</v>
      </c>
      <c r="B118" s="17" t="s">
        <v>188</v>
      </c>
      <c r="C118" s="6">
        <v>89</v>
      </c>
      <c r="D118" s="6">
        <v>1</v>
      </c>
      <c r="E118" s="226">
        <f t="shared" si="16"/>
        <v>89</v>
      </c>
      <c r="F118" s="111">
        <v>2</v>
      </c>
      <c r="G118" s="226">
        <f t="shared" si="17"/>
        <v>178</v>
      </c>
      <c r="H118" s="7">
        <v>178</v>
      </c>
      <c r="I118" s="223">
        <f t="shared" si="19"/>
        <v>0</v>
      </c>
      <c r="J118" s="223">
        <f t="shared" si="20"/>
        <v>0</v>
      </c>
      <c r="K118" s="223">
        <f t="shared" si="18"/>
        <v>0</v>
      </c>
      <c r="L118" s="180"/>
    </row>
    <row r="119" spans="1:15" ht="14.5" x14ac:dyDescent="0.3">
      <c r="A119" s="179" t="s">
        <v>189</v>
      </c>
      <c r="B119" s="17" t="s">
        <v>88</v>
      </c>
      <c r="C119" s="6">
        <v>89</v>
      </c>
      <c r="D119" s="6">
        <f>(37417/89)*0.05</f>
        <v>21.020786516853931</v>
      </c>
      <c r="E119" s="226">
        <f t="shared" si="16"/>
        <v>1870.85</v>
      </c>
      <c r="F119" s="111">
        <v>0.5</v>
      </c>
      <c r="G119" s="226">
        <f t="shared" si="17"/>
        <v>935.42499999999995</v>
      </c>
      <c r="H119" s="7">
        <v>935.42499999999995</v>
      </c>
      <c r="I119" s="223">
        <v>0</v>
      </c>
      <c r="J119" s="229">
        <f t="shared" si="20"/>
        <v>0</v>
      </c>
      <c r="K119" s="229">
        <f t="shared" si="18"/>
        <v>0</v>
      </c>
      <c r="L119" s="53"/>
    </row>
    <row r="120" spans="1:15" ht="14.5" x14ac:dyDescent="0.3">
      <c r="A120" s="179" t="s">
        <v>190</v>
      </c>
      <c r="B120" s="17" t="s">
        <v>191</v>
      </c>
      <c r="C120" s="6">
        <v>89</v>
      </c>
      <c r="D120" s="6">
        <f>(37417/89)*0.05</f>
        <v>21.020786516853931</v>
      </c>
      <c r="E120" s="226">
        <f t="shared" si="16"/>
        <v>1870.85</v>
      </c>
      <c r="F120" s="111">
        <v>2</v>
      </c>
      <c r="G120" s="226">
        <f t="shared" si="17"/>
        <v>3741.7</v>
      </c>
      <c r="H120" s="7">
        <v>3741.7</v>
      </c>
      <c r="I120" s="223">
        <v>0</v>
      </c>
      <c r="J120" s="223">
        <f t="shared" si="20"/>
        <v>0</v>
      </c>
      <c r="K120" s="223">
        <f t="shared" si="18"/>
        <v>0</v>
      </c>
      <c r="L120" s="53"/>
    </row>
    <row r="121" spans="1:15" ht="14.5" x14ac:dyDescent="0.3">
      <c r="A121" s="179" t="s">
        <v>93</v>
      </c>
      <c r="B121" s="17" t="s">
        <v>192</v>
      </c>
      <c r="C121" s="6">
        <v>89</v>
      </c>
      <c r="D121" s="6">
        <f>1048/89</f>
        <v>11.775280898876405</v>
      </c>
      <c r="E121" s="226">
        <f t="shared" si="16"/>
        <v>1048</v>
      </c>
      <c r="F121" s="111">
        <v>1</v>
      </c>
      <c r="G121" s="226">
        <f t="shared" si="17"/>
        <v>1048</v>
      </c>
      <c r="H121" s="7">
        <v>1048</v>
      </c>
      <c r="I121" s="223">
        <v>0</v>
      </c>
      <c r="J121" s="223">
        <f t="shared" si="20"/>
        <v>0</v>
      </c>
      <c r="K121" s="223">
        <f t="shared" si="18"/>
        <v>0</v>
      </c>
      <c r="L121" s="53"/>
    </row>
    <row r="122" spans="1:15" ht="81" customHeight="1" x14ac:dyDescent="0.3">
      <c r="A122" s="230" t="s">
        <v>193</v>
      </c>
      <c r="B122" s="231" t="s">
        <v>96</v>
      </c>
      <c r="C122" s="117">
        <v>1</v>
      </c>
      <c r="D122" s="117">
        <v>1</v>
      </c>
      <c r="E122" s="232">
        <f t="shared" si="16"/>
        <v>1</v>
      </c>
      <c r="F122" s="119">
        <v>0.20039999999999999</v>
      </c>
      <c r="G122" s="233">
        <f t="shared" si="17"/>
        <v>0.20039999999999999</v>
      </c>
      <c r="H122" s="120">
        <v>0.20039999999999999</v>
      </c>
      <c r="I122" s="223">
        <f t="shared" si="19"/>
        <v>0</v>
      </c>
      <c r="J122" s="223">
        <v>0</v>
      </c>
      <c r="K122" s="223">
        <f t="shared" si="18"/>
        <v>0</v>
      </c>
      <c r="L122" s="53"/>
      <c r="O122" s="14"/>
    </row>
    <row r="123" spans="1:15" ht="32.25" customHeight="1" x14ac:dyDescent="0.3">
      <c r="A123" s="179" t="s">
        <v>194</v>
      </c>
      <c r="B123" s="17" t="s">
        <v>132</v>
      </c>
      <c r="C123" s="6">
        <v>89</v>
      </c>
      <c r="D123" s="6">
        <f>(1810/89)</f>
        <v>20.337078651685392</v>
      </c>
      <c r="E123" s="226">
        <f t="shared" si="16"/>
        <v>1809.9999999999998</v>
      </c>
      <c r="F123" s="111">
        <v>0.5</v>
      </c>
      <c r="G123" s="226">
        <f t="shared" si="17"/>
        <v>904.99999999999989</v>
      </c>
      <c r="H123" s="7">
        <v>904.99999999999989</v>
      </c>
      <c r="I123" s="223">
        <f t="shared" si="19"/>
        <v>0</v>
      </c>
      <c r="J123" s="223">
        <v>0</v>
      </c>
      <c r="K123" s="223">
        <f t="shared" si="18"/>
        <v>0</v>
      </c>
      <c r="L123" s="53"/>
    </row>
    <row r="124" spans="1:15" ht="32.25" customHeight="1" x14ac:dyDescent="0.3">
      <c r="A124" s="179" t="s">
        <v>137</v>
      </c>
      <c r="B124" s="17" t="s">
        <v>195</v>
      </c>
      <c r="C124" s="6">
        <v>89</v>
      </c>
      <c r="D124" s="6">
        <v>1</v>
      </c>
      <c r="E124" s="226">
        <f t="shared" si="16"/>
        <v>89</v>
      </c>
      <c r="F124" s="111">
        <v>0.16700000000000001</v>
      </c>
      <c r="G124" s="226">
        <f t="shared" si="17"/>
        <v>14.863000000000001</v>
      </c>
      <c r="H124" s="7">
        <v>14.863000000000001</v>
      </c>
      <c r="I124" s="223">
        <f t="shared" si="19"/>
        <v>0</v>
      </c>
      <c r="J124" s="223">
        <v>0</v>
      </c>
      <c r="K124" s="223">
        <f t="shared" si="18"/>
        <v>0</v>
      </c>
      <c r="L124" s="53"/>
      <c r="M124" s="2" t="s">
        <v>196</v>
      </c>
    </row>
    <row r="125" spans="1:15" ht="30.75" customHeight="1" x14ac:dyDescent="0.3">
      <c r="A125" s="179" t="s">
        <v>197</v>
      </c>
      <c r="B125" s="17" t="s">
        <v>198</v>
      </c>
      <c r="C125" s="6">
        <v>89</v>
      </c>
      <c r="D125" s="6">
        <v>1</v>
      </c>
      <c r="E125" s="226">
        <f t="shared" si="16"/>
        <v>89</v>
      </c>
      <c r="F125" s="111">
        <v>5</v>
      </c>
      <c r="G125" s="226">
        <f t="shared" si="17"/>
        <v>445</v>
      </c>
      <c r="H125" s="7">
        <v>445</v>
      </c>
      <c r="I125" s="223">
        <f t="shared" si="19"/>
        <v>0</v>
      </c>
      <c r="J125" s="223">
        <f t="shared" si="20"/>
        <v>0</v>
      </c>
      <c r="K125" s="223">
        <f t="shared" si="18"/>
        <v>0</v>
      </c>
      <c r="L125" s="53"/>
    </row>
    <row r="126" spans="1:15" ht="38.25" customHeight="1" x14ac:dyDescent="0.3">
      <c r="A126" s="179" t="s">
        <v>199</v>
      </c>
      <c r="B126" s="17" t="s">
        <v>200</v>
      </c>
      <c r="C126" s="6">
        <f>89+1267</f>
        <v>1356</v>
      </c>
      <c r="D126" s="6">
        <v>12</v>
      </c>
      <c r="E126" s="226">
        <f t="shared" si="16"/>
        <v>16272</v>
      </c>
      <c r="F126" s="111">
        <v>2</v>
      </c>
      <c r="G126" s="226">
        <f t="shared" si="17"/>
        <v>32544</v>
      </c>
      <c r="H126" s="7">
        <v>32544</v>
      </c>
      <c r="I126" s="227">
        <f>G126-H126</f>
        <v>0</v>
      </c>
      <c r="J126" s="223">
        <v>0</v>
      </c>
      <c r="K126" s="227">
        <f t="shared" si="18"/>
        <v>0</v>
      </c>
      <c r="L126" s="53"/>
    </row>
    <row r="127" spans="1:15" ht="28" x14ac:dyDescent="0.3">
      <c r="A127" s="179" t="s">
        <v>199</v>
      </c>
      <c r="B127" s="17" t="s">
        <v>201</v>
      </c>
      <c r="C127" s="6">
        <f>1810*0.7</f>
        <v>1267</v>
      </c>
      <c r="D127" s="6">
        <f>((6243960)/1267)*2*0.7</f>
        <v>6899.4033149171264</v>
      </c>
      <c r="E127" s="226">
        <f t="shared" si="16"/>
        <v>8741544</v>
      </c>
      <c r="F127" s="121">
        <v>1.67E-2</v>
      </c>
      <c r="G127" s="226">
        <f t="shared" si="17"/>
        <v>145983.78479999999</v>
      </c>
      <c r="H127" s="7">
        <v>145983.78479999999</v>
      </c>
      <c r="I127" s="227">
        <f>G127-H127</f>
        <v>0</v>
      </c>
      <c r="J127" s="229">
        <v>0</v>
      </c>
      <c r="K127" s="227">
        <f t="shared" si="18"/>
        <v>0</v>
      </c>
      <c r="L127" s="53"/>
    </row>
    <row r="128" spans="1:15" ht="14.5" x14ac:dyDescent="0.3">
      <c r="A128" s="179" t="s">
        <v>199</v>
      </c>
      <c r="B128" s="17" t="s">
        <v>202</v>
      </c>
      <c r="C128" s="6">
        <f>89+1267</f>
        <v>1356</v>
      </c>
      <c r="D128" s="6">
        <v>1</v>
      </c>
      <c r="E128" s="226">
        <f t="shared" si="16"/>
        <v>1356</v>
      </c>
      <c r="F128" s="111">
        <v>0.25</v>
      </c>
      <c r="G128" s="224">
        <f t="shared" si="17"/>
        <v>339</v>
      </c>
      <c r="H128" s="7">
        <v>339</v>
      </c>
      <c r="I128" s="227">
        <f>G128-H128</f>
        <v>0</v>
      </c>
      <c r="J128" s="223">
        <v>0</v>
      </c>
      <c r="K128" s="227">
        <f t="shared" si="18"/>
        <v>0</v>
      </c>
      <c r="L128" s="53"/>
    </row>
    <row r="129" spans="1:12" ht="28.5" thickBot="1" x14ac:dyDescent="0.35">
      <c r="A129" s="204" t="s">
        <v>143</v>
      </c>
      <c r="B129" s="193" t="s">
        <v>144</v>
      </c>
      <c r="C129" s="8">
        <v>76</v>
      </c>
      <c r="D129" s="6">
        <v>1</v>
      </c>
      <c r="E129" s="224">
        <f t="shared" si="16"/>
        <v>76</v>
      </c>
      <c r="F129" s="111">
        <v>0.16700000000000001</v>
      </c>
      <c r="G129" s="224">
        <f t="shared" si="17"/>
        <v>12.692</v>
      </c>
      <c r="H129" s="122">
        <v>12.692</v>
      </c>
      <c r="I129" s="223">
        <f t="shared" si="19"/>
        <v>0</v>
      </c>
      <c r="J129" s="223">
        <v>0</v>
      </c>
      <c r="K129" s="223">
        <f t="shared" si="18"/>
        <v>0</v>
      </c>
      <c r="L129" s="53"/>
    </row>
    <row r="130" spans="1:12" ht="16.5" customHeight="1" thickBot="1" x14ac:dyDescent="0.35">
      <c r="A130" s="465" t="s">
        <v>203</v>
      </c>
      <c r="B130" s="465"/>
      <c r="C130" s="380">
        <v>1356</v>
      </c>
      <c r="D130" s="12">
        <f>+E130/C130</f>
        <v>6484.5468362831853</v>
      </c>
      <c r="E130" s="3">
        <f>SUM(E112:E129)</f>
        <v>8793045.5099999998</v>
      </c>
      <c r="F130" s="12">
        <f>+G130/E130</f>
        <v>2.3156156529434365E-2</v>
      </c>
      <c r="G130" s="3">
        <f>SUM(G112:G129)</f>
        <v>203613.13820000002</v>
      </c>
      <c r="H130" s="123">
        <f>SUM(H112:H129)</f>
        <v>203583.13820000002</v>
      </c>
      <c r="I130" s="13">
        <f>SUM(I112:I129)</f>
        <v>30</v>
      </c>
      <c r="J130" s="3">
        <f>SUM(J112:J129)</f>
        <v>0</v>
      </c>
      <c r="K130" s="3">
        <f>SUM(K112:K129)</f>
        <v>30</v>
      </c>
      <c r="L130" s="234"/>
    </row>
    <row r="131" spans="1:12" ht="14.25" customHeight="1" thickBot="1" x14ac:dyDescent="0.35">
      <c r="A131" s="464" t="s">
        <v>159</v>
      </c>
      <c r="B131" s="464"/>
      <c r="C131" s="464"/>
      <c r="D131" s="464"/>
      <c r="E131" s="464"/>
      <c r="F131" s="464"/>
      <c r="G131" s="464"/>
      <c r="H131" s="464"/>
      <c r="I131" s="464"/>
      <c r="J131" s="464"/>
      <c r="K131" s="464"/>
      <c r="L131" s="464"/>
    </row>
    <row r="132" spans="1:12" ht="14.25" customHeight="1" x14ac:dyDescent="0.3">
      <c r="A132" s="220" t="s">
        <v>59</v>
      </c>
      <c r="B132" s="17" t="s">
        <v>152</v>
      </c>
      <c r="C132" s="6">
        <f>0.3*1810</f>
        <v>543</v>
      </c>
      <c r="D132" s="6">
        <f>(10000/543)*2*0.3</f>
        <v>11.049723756906078</v>
      </c>
      <c r="E132" s="224">
        <f t="shared" ref="E132:E136" si="21">C132*D132</f>
        <v>6000</v>
      </c>
      <c r="F132" s="111">
        <v>1.67E-2</v>
      </c>
      <c r="G132" s="224">
        <f t="shared" ref="G132:G136" si="22">E132*F132</f>
        <v>100.2</v>
      </c>
      <c r="H132" s="7">
        <v>100.2</v>
      </c>
      <c r="I132" s="202">
        <f t="shared" ref="I132:I133" si="23">G132-H132</f>
        <v>0</v>
      </c>
      <c r="J132" s="235">
        <v>0</v>
      </c>
      <c r="K132" s="236">
        <f>G132-H132</f>
        <v>0</v>
      </c>
      <c r="L132" s="228"/>
    </row>
    <row r="133" spans="1:12" ht="14.25" customHeight="1" x14ac:dyDescent="0.3">
      <c r="A133" s="220" t="s">
        <v>204</v>
      </c>
      <c r="B133" s="17" t="s">
        <v>205</v>
      </c>
      <c r="C133" s="6">
        <v>37417</v>
      </c>
      <c r="D133" s="6">
        <v>1</v>
      </c>
      <c r="E133" s="226">
        <f t="shared" si="21"/>
        <v>37417</v>
      </c>
      <c r="F133" s="111">
        <v>0.16700000000000001</v>
      </c>
      <c r="G133" s="226">
        <f t="shared" si="22"/>
        <v>6248.6390000000001</v>
      </c>
      <c r="H133" s="7">
        <v>6248.6390000000001</v>
      </c>
      <c r="I133" s="236">
        <f t="shared" si="23"/>
        <v>0</v>
      </c>
      <c r="J133" s="235">
        <v>0</v>
      </c>
      <c r="K133" s="236">
        <f t="shared" ref="K133:K136" si="24">G133-H133</f>
        <v>0</v>
      </c>
      <c r="L133" s="228"/>
    </row>
    <row r="134" spans="1:12" ht="16.5" customHeight="1" x14ac:dyDescent="0.3">
      <c r="A134" s="179" t="s">
        <v>199</v>
      </c>
      <c r="B134" s="17" t="s">
        <v>200</v>
      </c>
      <c r="C134" s="6">
        <f>1810*0.3</f>
        <v>543</v>
      </c>
      <c r="D134" s="6">
        <v>12</v>
      </c>
      <c r="E134" s="226">
        <f t="shared" si="21"/>
        <v>6516</v>
      </c>
      <c r="F134" s="111">
        <v>2</v>
      </c>
      <c r="G134" s="226">
        <f t="shared" si="22"/>
        <v>13032</v>
      </c>
      <c r="H134" s="7">
        <v>13032</v>
      </c>
      <c r="I134" s="236">
        <f>G134-H134</f>
        <v>0</v>
      </c>
      <c r="J134" s="235">
        <v>0</v>
      </c>
      <c r="K134" s="236">
        <f t="shared" si="24"/>
        <v>0</v>
      </c>
      <c r="L134" s="228"/>
    </row>
    <row r="135" spans="1:12" ht="24" customHeight="1" x14ac:dyDescent="0.3">
      <c r="A135" s="179" t="s">
        <v>199</v>
      </c>
      <c r="B135" s="17" t="s">
        <v>201</v>
      </c>
      <c r="C135" s="6">
        <f>1810*0.3</f>
        <v>543</v>
      </c>
      <c r="D135" s="6">
        <f>((6243960)/543)*2*0.3</f>
        <v>6899.4033149171273</v>
      </c>
      <c r="E135" s="226">
        <f t="shared" si="21"/>
        <v>3746376</v>
      </c>
      <c r="F135" s="121">
        <v>1.67E-2</v>
      </c>
      <c r="G135" s="226">
        <f t="shared" si="22"/>
        <v>62564.479200000002</v>
      </c>
      <c r="H135" s="7">
        <v>62564.479200000002</v>
      </c>
      <c r="I135" s="236">
        <f>G135-H135</f>
        <v>0</v>
      </c>
      <c r="J135" s="235">
        <v>0</v>
      </c>
      <c r="K135" s="236">
        <f t="shared" si="24"/>
        <v>0</v>
      </c>
      <c r="L135" s="228"/>
    </row>
    <row r="136" spans="1:12" ht="14.25" customHeight="1" thickBot="1" x14ac:dyDescent="0.35">
      <c r="A136" s="179" t="s">
        <v>199</v>
      </c>
      <c r="B136" s="17" t="s">
        <v>202</v>
      </c>
      <c r="C136" s="6">
        <f>1810*0.3</f>
        <v>543</v>
      </c>
      <c r="D136" s="6">
        <v>1</v>
      </c>
      <c r="E136" s="224">
        <f t="shared" si="21"/>
        <v>543</v>
      </c>
      <c r="F136" s="111">
        <v>0.25</v>
      </c>
      <c r="G136" s="224">
        <f t="shared" si="22"/>
        <v>135.75</v>
      </c>
      <c r="H136" s="7">
        <v>135.75</v>
      </c>
      <c r="I136" s="236">
        <f>G136-H136</f>
        <v>0</v>
      </c>
      <c r="J136" s="235">
        <v>0</v>
      </c>
      <c r="K136" s="236">
        <f t="shared" si="24"/>
        <v>0</v>
      </c>
      <c r="L136" s="228"/>
    </row>
    <row r="137" spans="1:12" ht="14.5" thickBot="1" x14ac:dyDescent="0.35">
      <c r="A137" s="465" t="s">
        <v>206</v>
      </c>
      <c r="B137" s="465"/>
      <c r="C137" s="3">
        <f>C133+543</f>
        <v>37960</v>
      </c>
      <c r="D137" s="12">
        <f>E137/C137</f>
        <v>100.02244467860906</v>
      </c>
      <c r="E137" s="3">
        <f>SUM(E132:E136)</f>
        <v>3796852</v>
      </c>
      <c r="F137" s="12">
        <f>G137/E137</f>
        <v>2.161819006903614E-2</v>
      </c>
      <c r="G137" s="3">
        <f>SUM(G132:G136)</f>
        <v>82081.068200000009</v>
      </c>
      <c r="H137" s="123">
        <f>SUM(H132:H136)</f>
        <v>82081.068200000009</v>
      </c>
      <c r="I137" s="13">
        <f>SUM(I132:I136)</f>
        <v>0</v>
      </c>
      <c r="J137" s="3">
        <f>SUM(J132:J136)</f>
        <v>0</v>
      </c>
      <c r="K137" s="3">
        <f>SUM(K132:K136)</f>
        <v>0</v>
      </c>
      <c r="L137" s="234"/>
    </row>
    <row r="138" spans="1:12" ht="15" customHeight="1" thickBot="1" x14ac:dyDescent="0.35">
      <c r="A138" s="466" t="s">
        <v>207</v>
      </c>
      <c r="B138" s="467"/>
      <c r="C138" s="3">
        <f>C137+C130</f>
        <v>39316</v>
      </c>
      <c r="D138" s="12">
        <f>+E138/C138</f>
        <v>320.22325541764167</v>
      </c>
      <c r="E138" s="3">
        <f>E137+E130</f>
        <v>12589897.51</v>
      </c>
      <c r="F138" s="12">
        <f>G138/E138</f>
        <v>2.2692337739292686E-2</v>
      </c>
      <c r="G138" s="3">
        <f>G137+G130</f>
        <v>285694.20640000002</v>
      </c>
      <c r="H138" s="123">
        <f>H137+H130</f>
        <v>285664.20640000002</v>
      </c>
      <c r="I138" s="13">
        <f>I137+I130</f>
        <v>30</v>
      </c>
      <c r="J138" s="3">
        <f>J137+J130</f>
        <v>0</v>
      </c>
      <c r="K138" s="3">
        <f>K137+K130</f>
        <v>30</v>
      </c>
      <c r="L138" s="234"/>
    </row>
    <row r="139" spans="1:12" ht="16.5" customHeight="1" x14ac:dyDescent="0.3">
      <c r="A139" s="468" t="s">
        <v>208</v>
      </c>
      <c r="B139" s="468"/>
      <c r="C139" s="468"/>
      <c r="D139" s="468"/>
      <c r="E139" s="468"/>
      <c r="F139" s="468"/>
      <c r="G139" s="468"/>
      <c r="H139" s="468"/>
      <c r="I139" s="468"/>
      <c r="J139" s="468"/>
      <c r="K139" s="468"/>
      <c r="L139" s="469"/>
    </row>
    <row r="140" spans="1:12" ht="14.25" customHeight="1" x14ac:dyDescent="0.3">
      <c r="A140" s="470" t="s">
        <v>23</v>
      </c>
      <c r="B140" s="470"/>
      <c r="C140" s="470"/>
      <c r="D140" s="470"/>
      <c r="E140" s="470"/>
      <c r="F140" s="470"/>
      <c r="G140" s="470"/>
      <c r="H140" s="470"/>
      <c r="I140" s="470"/>
      <c r="J140" s="470"/>
      <c r="K140" s="470"/>
      <c r="L140" s="471"/>
    </row>
    <row r="141" spans="1:12" ht="14.25" customHeight="1" thickBot="1" x14ac:dyDescent="0.35">
      <c r="A141" s="179" t="s">
        <v>209</v>
      </c>
      <c r="B141" s="17" t="s">
        <v>210</v>
      </c>
      <c r="C141" s="6">
        <f>(89*0.33)</f>
        <v>29.37</v>
      </c>
      <c r="D141" s="6">
        <v>1</v>
      </c>
      <c r="E141" s="15">
        <f t="shared" ref="E141" si="25">C141*D141</f>
        <v>29.37</v>
      </c>
      <c r="F141" s="5">
        <v>0.5</v>
      </c>
      <c r="G141" s="15">
        <f t="shared" ref="G141" si="26">E141*F141</f>
        <v>14.685</v>
      </c>
      <c r="H141" s="7">
        <v>14.685</v>
      </c>
      <c r="I141" s="10">
        <f t="shared" ref="I141" si="27">G141-H141</f>
        <v>0</v>
      </c>
      <c r="J141" s="10">
        <v>0</v>
      </c>
      <c r="K141" s="10">
        <f>G141-H141</f>
        <v>0</v>
      </c>
      <c r="L141" s="183"/>
    </row>
    <row r="142" spans="1:12" ht="29.25" customHeight="1" thickBot="1" x14ac:dyDescent="0.35">
      <c r="A142" s="465" t="s">
        <v>211</v>
      </c>
      <c r="B142" s="465"/>
      <c r="C142" s="3">
        <f t="shared" ref="C142:K143" si="28">C141</f>
        <v>29.37</v>
      </c>
      <c r="D142" s="12">
        <f t="shared" si="28"/>
        <v>1</v>
      </c>
      <c r="E142" s="3">
        <f t="shared" si="28"/>
        <v>29.37</v>
      </c>
      <c r="F142" s="12">
        <f t="shared" si="28"/>
        <v>0.5</v>
      </c>
      <c r="G142" s="3">
        <f t="shared" si="28"/>
        <v>14.685</v>
      </c>
      <c r="H142" s="123">
        <f t="shared" si="28"/>
        <v>14.685</v>
      </c>
      <c r="I142" s="13">
        <f t="shared" si="28"/>
        <v>0</v>
      </c>
      <c r="J142" s="3">
        <f t="shared" si="28"/>
        <v>0</v>
      </c>
      <c r="K142" s="3">
        <f t="shared" si="28"/>
        <v>0</v>
      </c>
      <c r="L142" s="234"/>
    </row>
    <row r="143" spans="1:12" ht="16.5" customHeight="1" thickBot="1" x14ac:dyDescent="0.35">
      <c r="A143" s="466" t="s">
        <v>212</v>
      </c>
      <c r="B143" s="467"/>
      <c r="C143" s="3">
        <f t="shared" si="28"/>
        <v>29.37</v>
      </c>
      <c r="D143" s="12">
        <f t="shared" si="28"/>
        <v>1</v>
      </c>
      <c r="E143" s="3">
        <f t="shared" si="28"/>
        <v>29.37</v>
      </c>
      <c r="F143" s="12">
        <f t="shared" si="28"/>
        <v>0.5</v>
      </c>
      <c r="G143" s="3">
        <f t="shared" si="28"/>
        <v>14.685</v>
      </c>
      <c r="H143" s="123">
        <f t="shared" si="28"/>
        <v>14.685</v>
      </c>
      <c r="I143" s="13">
        <f t="shared" si="28"/>
        <v>0</v>
      </c>
      <c r="J143" s="3">
        <f t="shared" si="28"/>
        <v>0</v>
      </c>
      <c r="K143" s="3">
        <f t="shared" si="28"/>
        <v>0</v>
      </c>
      <c r="L143" s="234"/>
    </row>
    <row r="144" spans="1:12" ht="35.25" customHeight="1" thickBot="1" x14ac:dyDescent="0.35">
      <c r="A144" s="472" t="s">
        <v>213</v>
      </c>
      <c r="B144" s="473"/>
      <c r="C144" s="4">
        <f>C109</f>
        <v>6283276</v>
      </c>
      <c r="D144" s="9">
        <f>E144/C144</f>
        <v>8.8137917234703913</v>
      </c>
      <c r="E144" s="4">
        <f>E138+E109+E143</f>
        <v>55379486.005080149</v>
      </c>
      <c r="F144" s="9">
        <f>G144/E144</f>
        <v>0.28338678296215403</v>
      </c>
      <c r="G144" s="4">
        <f>G138+G109+G143</f>
        <v>15693814.381077295</v>
      </c>
      <c r="H144" s="126">
        <f>H138+H109+H143</f>
        <v>15686416.381077295</v>
      </c>
      <c r="I144" s="4">
        <f>I138+I109+I143</f>
        <v>7398</v>
      </c>
      <c r="J144" s="4">
        <f>J138+J109+J143</f>
        <v>0</v>
      </c>
      <c r="K144" s="127">
        <f>K143+K138+K109</f>
        <v>7398</v>
      </c>
      <c r="L144" s="237"/>
    </row>
    <row r="145" spans="1:6" ht="14.25" customHeight="1" thickBot="1" x14ac:dyDescent="0.35"/>
    <row r="146" spans="1:6" ht="14.5" thickBot="1" x14ac:dyDescent="0.35">
      <c r="A146" s="455" t="s">
        <v>214</v>
      </c>
      <c r="B146" s="456"/>
      <c r="C146" s="456"/>
      <c r="D146" s="457"/>
    </row>
    <row r="147" spans="1:6" ht="15" customHeight="1" thickBot="1" x14ac:dyDescent="0.35">
      <c r="A147" s="449" t="s">
        <v>215</v>
      </c>
      <c r="B147" s="450"/>
      <c r="C147" s="451">
        <f>+C109</f>
        <v>6283276</v>
      </c>
      <c r="D147" s="452"/>
      <c r="E147" s="11"/>
      <c r="F147" s="16"/>
    </row>
    <row r="148" spans="1:6" ht="17.25" customHeight="1" thickBot="1" x14ac:dyDescent="0.35">
      <c r="A148" s="460" t="s">
        <v>216</v>
      </c>
      <c r="B148" s="461"/>
      <c r="C148" s="458">
        <f>+C149/C147</f>
        <v>8.8137917234703913</v>
      </c>
      <c r="D148" s="459"/>
    </row>
    <row r="149" spans="1:6" ht="17.25" customHeight="1" thickBot="1" x14ac:dyDescent="0.35">
      <c r="A149" s="449" t="s">
        <v>217</v>
      </c>
      <c r="B149" s="450"/>
      <c r="C149" s="462">
        <f>E144</f>
        <v>55379486.005080149</v>
      </c>
      <c r="D149" s="463"/>
      <c r="F149" s="28"/>
    </row>
    <row r="150" spans="1:6" ht="14.25" customHeight="1" thickBot="1" x14ac:dyDescent="0.35">
      <c r="A150" s="449" t="s">
        <v>218</v>
      </c>
      <c r="B150" s="450"/>
      <c r="C150" s="458">
        <f>+C151/C149</f>
        <v>0.27822767239594565</v>
      </c>
      <c r="D150" s="459"/>
      <c r="F150" s="28"/>
    </row>
    <row r="151" spans="1:6" ht="14.25" customHeight="1" thickBot="1" x14ac:dyDescent="0.35">
      <c r="A151" s="449" t="s">
        <v>219</v>
      </c>
      <c r="B151" s="450"/>
      <c r="C151" s="462">
        <f>G109</f>
        <v>15408105.489677295</v>
      </c>
      <c r="D151" s="463"/>
      <c r="F151" s="29"/>
    </row>
    <row r="152" spans="1:6" ht="14.5" thickBot="1" x14ac:dyDescent="0.35">
      <c r="A152" s="449" t="s">
        <v>220</v>
      </c>
      <c r="B152" s="450"/>
      <c r="C152" s="451">
        <f>H109</f>
        <v>15400737.489677295</v>
      </c>
      <c r="D152" s="452"/>
    </row>
    <row r="153" spans="1:6" ht="14.5" thickBot="1" x14ac:dyDescent="0.35">
      <c r="A153" s="453" t="s">
        <v>221</v>
      </c>
      <c r="B153" s="454"/>
      <c r="C153" s="451">
        <f>C151-C152</f>
        <v>7368</v>
      </c>
      <c r="D153" s="452"/>
    </row>
    <row r="155" spans="1:6" ht="14.5" thickBot="1" x14ac:dyDescent="0.35">
      <c r="A155" s="455" t="s">
        <v>222</v>
      </c>
      <c r="B155" s="456"/>
      <c r="C155" s="456"/>
      <c r="D155" s="457"/>
    </row>
    <row r="156" spans="1:6" ht="14.5" thickBot="1" x14ac:dyDescent="0.35">
      <c r="A156" s="449" t="s">
        <v>223</v>
      </c>
      <c r="B156" s="450"/>
      <c r="C156" s="451">
        <f>+C138</f>
        <v>39316</v>
      </c>
      <c r="D156" s="452"/>
    </row>
    <row r="157" spans="1:6" ht="14.5" thickBot="1" x14ac:dyDescent="0.35">
      <c r="A157" s="460" t="s">
        <v>216</v>
      </c>
      <c r="B157" s="461"/>
      <c r="C157" s="458">
        <f>+C158/C156</f>
        <v>320.22325541764167</v>
      </c>
      <c r="D157" s="459"/>
    </row>
    <row r="158" spans="1:6" ht="14.5" thickBot="1" x14ac:dyDescent="0.35">
      <c r="A158" s="449" t="s">
        <v>217</v>
      </c>
      <c r="B158" s="450"/>
      <c r="C158" s="451">
        <f>+E138</f>
        <v>12589897.51</v>
      </c>
      <c r="D158" s="452"/>
    </row>
    <row r="159" spans="1:6" ht="14.5" thickBot="1" x14ac:dyDescent="0.35">
      <c r="A159" s="449" t="s">
        <v>218</v>
      </c>
      <c r="B159" s="450"/>
      <c r="C159" s="458">
        <f>+C160/C158</f>
        <v>2.2692337739292686E-2</v>
      </c>
      <c r="D159" s="459"/>
    </row>
    <row r="160" spans="1:6" ht="14.5" thickBot="1" x14ac:dyDescent="0.35">
      <c r="A160" s="449" t="s">
        <v>219</v>
      </c>
      <c r="B160" s="450"/>
      <c r="C160" s="451">
        <f>+G138</f>
        <v>285694.20640000002</v>
      </c>
      <c r="D160" s="452"/>
    </row>
    <row r="161" spans="1:4" ht="14.5" thickBot="1" x14ac:dyDescent="0.35">
      <c r="A161" s="449" t="s">
        <v>220</v>
      </c>
      <c r="B161" s="450"/>
      <c r="C161" s="451">
        <f>+H138</f>
        <v>285664.20640000002</v>
      </c>
      <c r="D161" s="452"/>
    </row>
    <row r="162" spans="1:4" ht="14.5" thickBot="1" x14ac:dyDescent="0.35">
      <c r="A162" s="453" t="s">
        <v>221</v>
      </c>
      <c r="B162" s="454"/>
      <c r="C162" s="451">
        <f>C160-C161</f>
        <v>30</v>
      </c>
      <c r="D162" s="452"/>
    </row>
    <row r="164" spans="1:4" ht="15" customHeight="1" thickBot="1" x14ac:dyDescent="0.35">
      <c r="A164" s="455" t="s">
        <v>224</v>
      </c>
      <c r="B164" s="456"/>
      <c r="C164" s="456"/>
      <c r="D164" s="457"/>
    </row>
    <row r="165" spans="1:4" ht="15" customHeight="1" thickBot="1" x14ac:dyDescent="0.35">
      <c r="A165" s="449" t="s">
        <v>223</v>
      </c>
      <c r="B165" s="450"/>
      <c r="C165" s="451">
        <f>C143</f>
        <v>29.37</v>
      </c>
      <c r="D165" s="452"/>
    </row>
    <row r="166" spans="1:4" ht="15" customHeight="1" thickBot="1" x14ac:dyDescent="0.35">
      <c r="A166" s="460" t="s">
        <v>216</v>
      </c>
      <c r="B166" s="461"/>
      <c r="C166" s="458">
        <f>D143</f>
        <v>1</v>
      </c>
      <c r="D166" s="459"/>
    </row>
    <row r="167" spans="1:4" ht="15" customHeight="1" thickBot="1" x14ac:dyDescent="0.35">
      <c r="A167" s="449" t="s">
        <v>217</v>
      </c>
      <c r="B167" s="450"/>
      <c r="C167" s="451">
        <f>E143</f>
        <v>29.37</v>
      </c>
      <c r="D167" s="452"/>
    </row>
    <row r="168" spans="1:4" ht="15" customHeight="1" thickBot="1" x14ac:dyDescent="0.35">
      <c r="A168" s="449" t="s">
        <v>218</v>
      </c>
      <c r="B168" s="450"/>
      <c r="C168" s="458">
        <f>F143</f>
        <v>0.5</v>
      </c>
      <c r="D168" s="459"/>
    </row>
    <row r="169" spans="1:4" ht="15" customHeight="1" thickBot="1" x14ac:dyDescent="0.35">
      <c r="A169" s="449" t="s">
        <v>219</v>
      </c>
      <c r="B169" s="450"/>
      <c r="C169" s="451">
        <f>G143</f>
        <v>14.685</v>
      </c>
      <c r="D169" s="452"/>
    </row>
    <row r="170" spans="1:4" ht="14.5" thickBot="1" x14ac:dyDescent="0.35">
      <c r="A170" s="449" t="s">
        <v>220</v>
      </c>
      <c r="B170" s="450"/>
      <c r="C170" s="451">
        <f>H143</f>
        <v>14.685</v>
      </c>
      <c r="D170" s="452"/>
    </row>
    <row r="171" spans="1:4" ht="14.5" thickBot="1" x14ac:dyDescent="0.35">
      <c r="A171" s="453" t="s">
        <v>221</v>
      </c>
      <c r="B171" s="454"/>
      <c r="C171" s="451">
        <f>C169-C170</f>
        <v>0</v>
      </c>
      <c r="D171" s="452"/>
    </row>
    <row r="172" spans="1:4" ht="14.5" thickBot="1" x14ac:dyDescent="0.35">
      <c r="A172" s="243"/>
      <c r="B172" s="239"/>
      <c r="C172" s="240"/>
      <c r="D172" s="242"/>
    </row>
    <row r="173" spans="1:4" ht="14.5" thickBot="1" x14ac:dyDescent="0.35">
      <c r="A173" s="455" t="s">
        <v>225</v>
      </c>
      <c r="B173" s="456"/>
      <c r="C173" s="456"/>
      <c r="D173" s="457"/>
    </row>
    <row r="174" spans="1:4" ht="14.5" thickBot="1" x14ac:dyDescent="0.35">
      <c r="A174" s="449" t="s">
        <v>226</v>
      </c>
      <c r="B174" s="450"/>
      <c r="C174" s="451">
        <f>E144</f>
        <v>55379486.005080149</v>
      </c>
      <c r="D174" s="452"/>
    </row>
    <row r="175" spans="1:4" ht="14.5" thickBot="1" x14ac:dyDescent="0.35">
      <c r="A175" s="449" t="s">
        <v>227</v>
      </c>
      <c r="B175" s="450"/>
      <c r="C175" s="241"/>
      <c r="D175" s="242">
        <f>G144</f>
        <v>15693814.381077295</v>
      </c>
    </row>
    <row r="176" spans="1:4" ht="14.5" thickBot="1" x14ac:dyDescent="0.35">
      <c r="A176" s="449" t="s">
        <v>220</v>
      </c>
      <c r="B176" s="450"/>
      <c r="C176" s="451">
        <f>H144</f>
        <v>15686416.381077295</v>
      </c>
      <c r="D176" s="452"/>
    </row>
    <row r="177" spans="1:4" ht="14.5" thickBot="1" x14ac:dyDescent="0.35">
      <c r="A177" s="453" t="s">
        <v>221</v>
      </c>
      <c r="B177" s="454"/>
      <c r="C177" s="451">
        <f>D175-C176</f>
        <v>7398</v>
      </c>
      <c r="D177" s="452"/>
    </row>
  </sheetData>
  <mergeCells count="73">
    <mergeCell ref="A130:B130"/>
    <mergeCell ref="A1:L1"/>
    <mergeCell ref="A3:L3"/>
    <mergeCell ref="A4:L4"/>
    <mergeCell ref="A70:B70"/>
    <mergeCell ref="A71:L71"/>
    <mergeCell ref="A83:B83"/>
    <mergeCell ref="A84:L84"/>
    <mergeCell ref="A108:B108"/>
    <mergeCell ref="A109:B109"/>
    <mergeCell ref="A110:L110"/>
    <mergeCell ref="A111:L111"/>
    <mergeCell ref="A148:B148"/>
    <mergeCell ref="C148:D148"/>
    <mergeCell ref="A131:L131"/>
    <mergeCell ref="A137:B137"/>
    <mergeCell ref="A138:B138"/>
    <mergeCell ref="A139:L139"/>
    <mergeCell ref="A140:L140"/>
    <mergeCell ref="A142:B142"/>
    <mergeCell ref="A143:B143"/>
    <mergeCell ref="A144:B144"/>
    <mergeCell ref="A146:D146"/>
    <mergeCell ref="A147:B147"/>
    <mergeCell ref="C147:D147"/>
    <mergeCell ref="A156:B156"/>
    <mergeCell ref="C156:D156"/>
    <mergeCell ref="A149:B149"/>
    <mergeCell ref="C149:D149"/>
    <mergeCell ref="A150:B150"/>
    <mergeCell ref="C150:D150"/>
    <mergeCell ref="A151:B151"/>
    <mergeCell ref="C151:D151"/>
    <mergeCell ref="A152:B152"/>
    <mergeCell ref="C152:D152"/>
    <mergeCell ref="A153:B153"/>
    <mergeCell ref="C153:D153"/>
    <mergeCell ref="A155:D155"/>
    <mergeCell ref="A157:B157"/>
    <mergeCell ref="C157:D157"/>
    <mergeCell ref="A158:B158"/>
    <mergeCell ref="C158:D158"/>
    <mergeCell ref="A159:B159"/>
    <mergeCell ref="C159:D159"/>
    <mergeCell ref="A167:B167"/>
    <mergeCell ref="C167:D167"/>
    <mergeCell ref="A160:B160"/>
    <mergeCell ref="C160:D160"/>
    <mergeCell ref="A161:B161"/>
    <mergeCell ref="C161:D161"/>
    <mergeCell ref="A162:B162"/>
    <mergeCell ref="C162:D162"/>
    <mergeCell ref="A164:D164"/>
    <mergeCell ref="A165:B165"/>
    <mergeCell ref="C165:D165"/>
    <mergeCell ref="A166:B166"/>
    <mergeCell ref="C166:D166"/>
    <mergeCell ref="A168:B168"/>
    <mergeCell ref="C168:D168"/>
    <mergeCell ref="A169:B169"/>
    <mergeCell ref="C169:D169"/>
    <mergeCell ref="A170:B170"/>
    <mergeCell ref="C170:D170"/>
    <mergeCell ref="A176:B176"/>
    <mergeCell ref="C176:D176"/>
    <mergeCell ref="A177:B177"/>
    <mergeCell ref="C177:D177"/>
    <mergeCell ref="A171:B171"/>
    <mergeCell ref="C171:D171"/>
    <mergeCell ref="A173:D173"/>
    <mergeCell ref="A174:B174"/>
    <mergeCell ref="C174:D174"/>
    <mergeCell ref="A175:B17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E79B-9035-45DD-AD21-F7EA2D82C216}">
  <dimension ref="A1:F17"/>
  <sheetViews>
    <sheetView workbookViewId="0">
      <selection activeCell="B21" sqref="B21"/>
    </sheetView>
  </sheetViews>
  <sheetFormatPr defaultRowHeight="12.5" x14ac:dyDescent="0.25"/>
  <cols>
    <col min="1" max="1" width="28.54296875" bestFit="1" customWidth="1"/>
    <col min="2" max="2" width="28.453125" bestFit="1" customWidth="1"/>
    <col min="3" max="3" width="12" bestFit="1" customWidth="1"/>
    <col min="4" max="4" width="15" bestFit="1" customWidth="1"/>
    <col min="5" max="5" width="16" customWidth="1"/>
    <col min="6" max="6" width="17.26953125" bestFit="1" customWidth="1"/>
  </cols>
  <sheetData>
    <row r="1" spans="1:6" ht="13" x14ac:dyDescent="0.3">
      <c r="A1" s="273" t="s">
        <v>257</v>
      </c>
      <c r="B1" s="273" t="s">
        <v>8</v>
      </c>
      <c r="C1" s="273" t="s">
        <v>258</v>
      </c>
      <c r="D1" s="273" t="s">
        <v>259</v>
      </c>
      <c r="E1" s="274" t="s">
        <v>266</v>
      </c>
      <c r="F1" s="273" t="s">
        <v>260</v>
      </c>
    </row>
    <row r="2" spans="1:6" x14ac:dyDescent="0.25">
      <c r="A2" s="275" t="s">
        <v>261</v>
      </c>
      <c r="B2" s="276">
        <f>'FP Final Rule Only'!G17+'FP Final Rule Only'!G41</f>
        <v>2670146.8394800001</v>
      </c>
      <c r="C2" s="277">
        <v>32.39</v>
      </c>
      <c r="D2" s="277">
        <f>B2*C2</f>
        <v>86486056.130757198</v>
      </c>
      <c r="E2" s="277">
        <f>D2*0.33</f>
        <v>28540398.523149878</v>
      </c>
      <c r="F2" s="277">
        <f>SUM(D2:E2)</f>
        <v>115026454.65390708</v>
      </c>
    </row>
    <row r="3" spans="1:6" x14ac:dyDescent="0.25">
      <c r="A3" s="275" t="s">
        <v>262</v>
      </c>
      <c r="B3" s="276">
        <f>'FP Final Rule Only'!G30+'FP Final Rule Only'!G31+'FP Final Rule Only'!G32+'FP Final Rule Only'!G33+'FP Final Rule Only'!G43</f>
        <v>262641.48551685392</v>
      </c>
      <c r="C3" s="277">
        <v>17.84</v>
      </c>
      <c r="D3" s="277">
        <f>B3*C3</f>
        <v>4685524.1016206741</v>
      </c>
      <c r="E3" s="277">
        <f>D3*0.33</f>
        <v>1546222.9535348224</v>
      </c>
      <c r="F3" s="277">
        <f>SUM(D3:E3)</f>
        <v>6231747.055155497</v>
      </c>
    </row>
    <row r="4" spans="1:6" x14ac:dyDescent="0.25">
      <c r="A4" s="275" t="s">
        <v>263</v>
      </c>
      <c r="B4" s="276">
        <f>'FP Final Rule Only'!G25+'FP Final Rule Only'!G26+'FP Final Rule Only'!G27+'FP Final Rule Only'!G28+'FP Final Rule Only'!G29</f>
        <v>1032856.9068</v>
      </c>
      <c r="C4" s="277">
        <v>19.559999999999999</v>
      </c>
      <c r="D4" s="277">
        <f>B4*C4</f>
        <v>20202681.097007997</v>
      </c>
      <c r="E4" s="277">
        <f>D4*0.33</f>
        <v>6666884.7620126391</v>
      </c>
      <c r="F4" s="277">
        <f>SUM(D4:E4)</f>
        <v>26869565.859020635</v>
      </c>
    </row>
    <row r="5" spans="1:6" x14ac:dyDescent="0.25">
      <c r="A5" s="275" t="s">
        <v>264</v>
      </c>
      <c r="B5" s="276">
        <f>'FP Final Rule Only'!G23</f>
        <v>3441046.3560000001</v>
      </c>
      <c r="C5" s="277">
        <v>7.25</v>
      </c>
      <c r="D5" s="277">
        <f>B5*C5</f>
        <v>24947586.081</v>
      </c>
      <c r="E5" s="277">
        <f>D5*0.33</f>
        <v>8232703.4067300009</v>
      </c>
      <c r="F5" s="277">
        <f>SUM(D5:E5)</f>
        <v>33180289.48773</v>
      </c>
    </row>
    <row r="6" spans="1:6" x14ac:dyDescent="0.25">
      <c r="A6" s="275" t="s">
        <v>265</v>
      </c>
      <c r="B6" s="276">
        <f>SUM(B2:B5)</f>
        <v>7406691.5877968539</v>
      </c>
      <c r="F6" s="278">
        <f>SUM(F2:F5)</f>
        <v>181308057.05581322</v>
      </c>
    </row>
    <row r="15" spans="1:6" x14ac:dyDescent="0.25">
      <c r="C15" s="279"/>
    </row>
    <row r="17" spans="3:3" x14ac:dyDescent="0.25">
      <c r="C17" s="27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1e6e7a-d9a4-4f8c-8eb9-556f918ff3f4">
      <Terms xmlns="http://schemas.microsoft.com/office/infopath/2007/PartnerControls"/>
    </lcf76f155ced4ddcb4097134ff3c332f>
    <TaxCatchAll xmlns="73fb875a-8af9-4255-b008-0995492d31cd" xsi:nil="true"/>
    <Comments xmlns="e41e6e7a-d9a4-4f8c-8eb9-556f918ff3f4" xsi:nil="true"/>
    <APComment xmlns="e41e6e7a-d9a4-4f8c-8eb9-556f918ff3f4" xsi:nil="true"/>
    <Cleared xmlns="e41e6e7a-d9a4-4f8c-8eb9-556f918ff3f4">true</Cleared>
    <EmailDraft xmlns="e41e6e7a-d9a4-4f8c-8eb9-556f918ff3f4">true</EmailDraf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B41968DED4DE44B6F3F891104B3069" ma:contentTypeVersion="19" ma:contentTypeDescription="Create a new document." ma:contentTypeScope="" ma:versionID="23c7772c2f8d6893d9fb6aeac2c58aac">
  <xsd:schema xmlns:xsd="http://www.w3.org/2001/XMLSchema" xmlns:xs="http://www.w3.org/2001/XMLSchema" xmlns:p="http://schemas.microsoft.com/office/2006/metadata/properties" xmlns:ns2="e41e6e7a-d9a4-4f8c-8eb9-556f918ff3f4" xmlns:ns3="3323e635-b63f-4e4b-b8b4-98b05fe663e6" xmlns:ns4="73fb875a-8af9-4255-b008-0995492d31cd" targetNamespace="http://schemas.microsoft.com/office/2006/metadata/properties" ma:root="true" ma:fieldsID="12a9aead7e93c683ff46d7693d08f35c" ns2:_="" ns3:_="" ns4:_="">
    <xsd:import namespace="e41e6e7a-d9a4-4f8c-8eb9-556f918ff3f4"/>
    <xsd:import namespace="3323e635-b63f-4e4b-b8b4-98b05fe663e6"/>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lcf76f155ced4ddcb4097134ff3c332f" minOccurs="0"/>
                <xsd:element ref="ns4:TaxCatchAll" minOccurs="0"/>
                <xsd:element ref="ns2:MediaLengthInSeconds" minOccurs="0"/>
                <xsd:element ref="ns2:Cleared" minOccurs="0"/>
                <xsd:element ref="ns2:Comments" minOccurs="0"/>
                <xsd:element ref="ns2:APComment" minOccurs="0"/>
                <xsd:element ref="ns2:EmailDraft"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e6e7a-d9a4-4f8c-8eb9-556f918ff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Cleared" ma:index="21" nillable="true" ma:displayName="Cleared" ma:default="1" ma:description="Item is cleared to be send" ma:format="Dropdown" ma:internalName="Cleared">
      <xsd:simpleType>
        <xsd:restriction base="dms:Boolean"/>
      </xsd:simpleType>
    </xsd:element>
    <xsd:element name="Comments" ma:index="22" nillable="true" ma:displayName="Staff Comments" ma:format="Dropdown" ma:internalName="Comments">
      <xsd:simpleType>
        <xsd:restriction base="dms:Note">
          <xsd:maxLength value="255"/>
        </xsd:restriction>
      </xsd:simpleType>
    </xsd:element>
    <xsd:element name="APComment" ma:index="23" nillable="true" ma:displayName="AP Comment" ma:format="Dropdown" ma:internalName="APComment">
      <xsd:simpleType>
        <xsd:restriction base="dms:Note">
          <xsd:maxLength value="255"/>
        </xsd:restriction>
      </xsd:simpleType>
    </xsd:element>
    <xsd:element name="EmailDraft" ma:index="24" nillable="true" ma:displayName="Email Draft" ma:default="1" ma:description="Draft an email to send" ma:format="Dropdown" ma:internalName="EmailDraft">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23e635-b63f-4e4b-b8b4-98b05fe663e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39d2472-4343-4717-b837-7d293b89b168}" ma:internalName="TaxCatchAll" ma:showField="CatchAllData" ma:web="3323e635-b63f-4e4b-b8b4-98b05fe66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51F74-EB57-4EC4-BE83-BB12A10C23DC}">
  <ds:schemaRefs>
    <ds:schemaRef ds:uri="73fb875a-8af9-4255-b008-0995492d31cd"/>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metadata/properties"/>
    <ds:schemaRef ds:uri="http://schemas.microsoft.com/office/2006/documentManagement/types"/>
    <ds:schemaRef ds:uri="3323e635-b63f-4e4b-b8b4-98b05fe663e6"/>
    <ds:schemaRef ds:uri="e41e6e7a-d9a4-4f8c-8eb9-556f918ff3f4"/>
    <ds:schemaRef ds:uri="http://purl.org/dc/terms/"/>
    <ds:schemaRef ds:uri="http://purl.org/dc/elements/1.1/"/>
  </ds:schemaRefs>
</ds:datastoreItem>
</file>

<file path=customXml/itemProps2.xml><?xml version="1.0" encoding="utf-8"?>
<ds:datastoreItem xmlns:ds="http://schemas.openxmlformats.org/officeDocument/2006/customXml" ds:itemID="{9983DA38-4F7D-4ACB-8CD7-0902DDF1E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e6e7a-d9a4-4f8c-8eb9-556f918ff3f4"/>
    <ds:schemaRef ds:uri="3323e635-b63f-4e4b-b8b4-98b05fe663e6"/>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42E8EA-FEEC-4A74-B5AC-40728FD8B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FP Final Rule + WIC ICB</vt:lpstr>
      <vt:lpstr>FP Final Rule Only</vt:lpstr>
      <vt:lpstr>Currently Approved WIC ICB</vt:lpstr>
      <vt:lpstr>Cost Estimates Q12B</vt:lpstr>
    </vt:vector>
  </TitlesOfParts>
  <Manager/>
  <Company>USDA FSC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 CARROLL</dc:creator>
  <cp:keywords/>
  <dc:description/>
  <cp:lastModifiedBy>Duncan-Hughes, Dionne - FNS</cp:lastModifiedBy>
  <cp:revision/>
  <dcterms:created xsi:type="dcterms:W3CDTF">1999-05-24T18:00:59Z</dcterms:created>
  <dcterms:modified xsi:type="dcterms:W3CDTF">2024-07-15T18:04:14Z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0x010100FBB41968DED4DE44B6F3F891104B3069</vt:lpwstr>
  </property>
  <property fmtid="{D5CDD505-2E9C-101B-9397-08002B2CF9AE}" pid="3" name="MediaServiceImageTags">
    <vt:lpwstr/>
  </property>
</Properties>
</file>