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usepa-my.sharepoint.com/personal/salahuddin_diane_epa_gov/Documents/Documents/"/>
    </mc:Choice>
  </mc:AlternateContent>
  <xr:revisionPtr revIDLastSave="0" documentId="8_{EEDB6454-9938-4C8F-8BA3-0410227F0868}" xr6:coauthVersionLast="47" xr6:coauthVersionMax="47" xr10:uidLastSave="{00000000-0000-0000-0000-000000000000}"/>
  <bookViews>
    <workbookView xWindow="-110" yWindow="-110" windowWidth="19420" windowHeight="10300" tabRatio="768" firstSheet="1" activeTab="10" xr2:uid="{00000000-000D-0000-FFFF-FFFF00000000}"/>
  </bookViews>
  <sheets>
    <sheet name="Cover" sheetId="3" r:id="rId1"/>
    <sheet name="Inputs" sheetId="4" r:id="rId2"/>
    <sheet name="Current ICR" sheetId="5" r:id="rId3"/>
    <sheet name="TBL1-ResY1" sheetId="12" r:id="rId4"/>
    <sheet name="TBL2-ResY2" sheetId="16" r:id="rId5"/>
    <sheet name="TBL3-ResY3" sheetId="17" r:id="rId6"/>
    <sheet name="TBL4-ResSUM" sheetId="8" r:id="rId7"/>
    <sheet name="TBL5-EPAY1" sheetId="13" r:id="rId8"/>
    <sheet name="TBL6-EPAY2" sheetId="18" r:id="rId9"/>
    <sheet name="TBL7-EPAY3" sheetId="19" r:id="rId10"/>
    <sheet name="TBL8-EPA SUMMARY" sheetId="11" r:id="rId11"/>
  </sheets>
  <definedNames>
    <definedName name="_Hlk226374301" localSheetId="2">'Current ICR'!$A$9</definedName>
    <definedName name="_Hlk226374301" localSheetId="3">'TBL1-ResY1'!$A$9</definedName>
    <definedName name="_Hlk226374301" localSheetId="4">'TBL2-ResY2'!$A$9</definedName>
    <definedName name="_Hlk226374301" localSheetId="5">'TBL3-ResY3'!$A$9</definedName>
    <definedName name="_Hlk226374301" localSheetId="7">'TBL5-EPAY1'!#REF!</definedName>
    <definedName name="_Hlk226374301" localSheetId="8">'TBL6-EPAY2'!#REF!</definedName>
    <definedName name="_Hlk226374301" localSheetId="9">'TBL7-EPAY3'!#REF!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11" l="1"/>
  <c r="D5" i="11"/>
  <c r="B5" i="11"/>
  <c r="C4" i="11"/>
  <c r="D4" i="11"/>
  <c r="B4" i="11"/>
  <c r="F18" i="19"/>
  <c r="H18" i="19" s="1"/>
  <c r="D18" i="19"/>
  <c r="D16" i="19"/>
  <c r="F16" i="19" s="1"/>
  <c r="D14" i="19"/>
  <c r="F14" i="19" s="1"/>
  <c r="L7" i="19"/>
  <c r="L6" i="19"/>
  <c r="L5" i="19"/>
  <c r="D18" i="18"/>
  <c r="F18" i="18" s="1"/>
  <c r="D16" i="18"/>
  <c r="F16" i="18" s="1"/>
  <c r="F14" i="18"/>
  <c r="H14" i="18" s="1"/>
  <c r="D14" i="18"/>
  <c r="L7" i="18"/>
  <c r="L6" i="18"/>
  <c r="L5" i="18"/>
  <c r="L7" i="13"/>
  <c r="L6" i="13"/>
  <c r="L5" i="13"/>
  <c r="D18" i="13"/>
  <c r="F16" i="13"/>
  <c r="D16" i="13"/>
  <c r="D14" i="13"/>
  <c r="D13" i="13"/>
  <c r="D4" i="13"/>
  <c r="G6" i="8"/>
  <c r="F6" i="8"/>
  <c r="F5" i="8"/>
  <c r="C6" i="8"/>
  <c r="D6" i="8"/>
  <c r="B6" i="8"/>
  <c r="E5" i="8"/>
  <c r="E4" i="8"/>
  <c r="C5" i="8"/>
  <c r="D5" i="8"/>
  <c r="B5" i="8"/>
  <c r="F32" i="16"/>
  <c r="F4" i="8"/>
  <c r="C4" i="8"/>
  <c r="D4" i="8"/>
  <c r="B4" i="8"/>
  <c r="D42" i="17"/>
  <c r="F42" i="17" s="1"/>
  <c r="E39" i="17"/>
  <c r="D39" i="17"/>
  <c r="F39" i="17" s="1"/>
  <c r="F31" i="17"/>
  <c r="H31" i="17" s="1"/>
  <c r="D31" i="17"/>
  <c r="E30" i="17"/>
  <c r="F30" i="17" s="1"/>
  <c r="D30" i="17"/>
  <c r="F23" i="17"/>
  <c r="H23" i="17" s="1"/>
  <c r="D23" i="17"/>
  <c r="F13" i="17"/>
  <c r="H13" i="17" s="1"/>
  <c r="E13" i="17"/>
  <c r="D13" i="17"/>
  <c r="D8" i="17"/>
  <c r="F8" i="17" s="1"/>
  <c r="L7" i="17"/>
  <c r="L6" i="17"/>
  <c r="L5" i="17"/>
  <c r="G5" i="8"/>
  <c r="F42" i="16"/>
  <c r="H42" i="16" s="1"/>
  <c r="D42" i="16"/>
  <c r="E39" i="16"/>
  <c r="F39" i="16" s="1"/>
  <c r="D39" i="16"/>
  <c r="D31" i="16"/>
  <c r="F31" i="16" s="1"/>
  <c r="E30" i="16"/>
  <c r="F30" i="16" s="1"/>
  <c r="D30" i="16"/>
  <c r="D23" i="16"/>
  <c r="F23" i="16" s="1"/>
  <c r="E13" i="16"/>
  <c r="F13" i="16" s="1"/>
  <c r="D13" i="16"/>
  <c r="D8" i="16"/>
  <c r="F8" i="16" s="1"/>
  <c r="L7" i="16"/>
  <c r="L6" i="16"/>
  <c r="L5" i="16"/>
  <c r="L6" i="12"/>
  <c r="L7" i="12"/>
  <c r="L5" i="12"/>
  <c r="G4" i="8"/>
  <c r="D42" i="12"/>
  <c r="D41" i="12"/>
  <c r="D40" i="12"/>
  <c r="E39" i="12"/>
  <c r="D39" i="12"/>
  <c r="D37" i="12"/>
  <c r="D36" i="12"/>
  <c r="D35" i="12"/>
  <c r="D31" i="12"/>
  <c r="E30" i="12"/>
  <c r="D30" i="12"/>
  <c r="D23" i="12"/>
  <c r="E13" i="12"/>
  <c r="D13" i="12"/>
  <c r="D10" i="12"/>
  <c r="F10" i="12" s="1"/>
  <c r="D8" i="12"/>
  <c r="F8" i="12" s="1"/>
  <c r="D86" i="5"/>
  <c r="F86" i="5" s="1"/>
  <c r="D84" i="5"/>
  <c r="F84" i="5" s="1"/>
  <c r="D83" i="5"/>
  <c r="F83" i="5" s="1"/>
  <c r="D82" i="5"/>
  <c r="F82" i="5" s="1"/>
  <c r="D81" i="5"/>
  <c r="F79" i="5"/>
  <c r="D79" i="5"/>
  <c r="D78" i="5"/>
  <c r="F78" i="5" s="1"/>
  <c r="D77" i="5"/>
  <c r="F77" i="5" s="1"/>
  <c r="D76" i="5"/>
  <c r="F76" i="5" s="1"/>
  <c r="D74" i="5"/>
  <c r="E74" i="5"/>
  <c r="F74" i="5" s="1"/>
  <c r="D73" i="5"/>
  <c r="E81" i="5"/>
  <c r="F81" i="5" s="1"/>
  <c r="D72" i="5"/>
  <c r="F72" i="5" s="1"/>
  <c r="D42" i="5"/>
  <c r="D41" i="5"/>
  <c r="D40" i="5"/>
  <c r="D39" i="5"/>
  <c r="D37" i="5"/>
  <c r="D36" i="5"/>
  <c r="D35" i="5"/>
  <c r="D31" i="5"/>
  <c r="D30" i="5"/>
  <c r="D28" i="5"/>
  <c r="D27" i="5"/>
  <c r="D26" i="5"/>
  <c r="E25" i="5"/>
  <c r="D25" i="5"/>
  <c r="D24" i="5"/>
  <c r="D23" i="5"/>
  <c r="D22" i="5"/>
  <c r="D20" i="5"/>
  <c r="F20" i="5" s="1"/>
  <c r="D19" i="5"/>
  <c r="D18" i="5"/>
  <c r="E17" i="5"/>
  <c r="E37" i="5" s="1"/>
  <c r="D17" i="5"/>
  <c r="D13" i="5"/>
  <c r="D12" i="5"/>
  <c r="D11" i="5"/>
  <c r="D10" i="5"/>
  <c r="E13" i="5"/>
  <c r="F13" i="5" s="1"/>
  <c r="D8" i="5"/>
  <c r="D6" i="5"/>
  <c r="F6" i="5" s="1"/>
  <c r="I14" i="19" l="1"/>
  <c r="H14" i="19"/>
  <c r="G14" i="19"/>
  <c r="H16" i="19"/>
  <c r="G16" i="19"/>
  <c r="F19" i="19" s="1"/>
  <c r="G18" i="19"/>
  <c r="I18" i="19" s="1"/>
  <c r="F19" i="18"/>
  <c r="H16" i="18"/>
  <c r="G16" i="18"/>
  <c r="I16" i="18" s="1"/>
  <c r="H18" i="18"/>
  <c r="G18" i="18"/>
  <c r="I18" i="18" s="1"/>
  <c r="G14" i="18"/>
  <c r="I14" i="18" s="1"/>
  <c r="F18" i="13"/>
  <c r="G18" i="13" s="1"/>
  <c r="F14" i="13"/>
  <c r="H14" i="13" s="1"/>
  <c r="F4" i="13"/>
  <c r="G4" i="13" s="1"/>
  <c r="H16" i="13"/>
  <c r="I16" i="13" s="1"/>
  <c r="G16" i="13"/>
  <c r="E13" i="13"/>
  <c r="F13" i="13" s="1"/>
  <c r="H42" i="17"/>
  <c r="G42" i="17"/>
  <c r="I42" i="17" s="1"/>
  <c r="I31" i="17"/>
  <c r="H8" i="17"/>
  <c r="G8" i="17"/>
  <c r="F32" i="17" s="1"/>
  <c r="H30" i="17"/>
  <c r="G30" i="17"/>
  <c r="H39" i="17"/>
  <c r="F44" i="17" s="1"/>
  <c r="G39" i="17"/>
  <c r="I23" i="17"/>
  <c r="I39" i="17"/>
  <c r="G23" i="17"/>
  <c r="I30" i="17"/>
  <c r="G13" i="17"/>
  <c r="G31" i="17"/>
  <c r="I13" i="17"/>
  <c r="H13" i="16"/>
  <c r="G13" i="16"/>
  <c r="I13" i="16" s="1"/>
  <c r="H39" i="16"/>
  <c r="G39" i="16"/>
  <c r="H8" i="16"/>
  <c r="G8" i="16"/>
  <c r="H31" i="16"/>
  <c r="G31" i="16"/>
  <c r="I31" i="16" s="1"/>
  <c r="H23" i="16"/>
  <c r="G23" i="16"/>
  <c r="I23" i="16" s="1"/>
  <c r="H30" i="16"/>
  <c r="G30" i="16"/>
  <c r="I30" i="16" s="1"/>
  <c r="G42" i="16"/>
  <c r="I42" i="16" s="1"/>
  <c r="I8" i="16"/>
  <c r="I39" i="16"/>
  <c r="F39" i="12"/>
  <c r="H39" i="12" s="1"/>
  <c r="F35" i="12"/>
  <c r="F41" i="12"/>
  <c r="F36" i="12"/>
  <c r="F37" i="12"/>
  <c r="G37" i="12" s="1"/>
  <c r="F13" i="12"/>
  <c r="G13" i="12" s="1"/>
  <c r="F42" i="12"/>
  <c r="G42" i="12" s="1"/>
  <c r="F31" i="12"/>
  <c r="G31" i="12" s="1"/>
  <c r="F23" i="12"/>
  <c r="H23" i="12" s="1"/>
  <c r="F30" i="12"/>
  <c r="H30" i="12" s="1"/>
  <c r="F40" i="12"/>
  <c r="H40" i="12" s="1"/>
  <c r="H10" i="12"/>
  <c r="G10" i="12"/>
  <c r="G8" i="12"/>
  <c r="H8" i="12"/>
  <c r="G78" i="5"/>
  <c r="I86" i="5"/>
  <c r="H81" i="5"/>
  <c r="G81" i="5"/>
  <c r="I81" i="5" s="1"/>
  <c r="H77" i="5"/>
  <c r="G77" i="5"/>
  <c r="I77" i="5" s="1"/>
  <c r="H83" i="5"/>
  <c r="G83" i="5"/>
  <c r="I83" i="5" s="1"/>
  <c r="H72" i="5"/>
  <c r="G72" i="5"/>
  <c r="I72" i="5" s="1"/>
  <c r="G86" i="5"/>
  <c r="H86" i="5"/>
  <c r="H74" i="5"/>
  <c r="G74" i="5"/>
  <c r="I74" i="5" s="1"/>
  <c r="G79" i="5"/>
  <c r="I79" i="5" s="1"/>
  <c r="H79" i="5"/>
  <c r="H84" i="5"/>
  <c r="G84" i="5"/>
  <c r="I84" i="5" s="1"/>
  <c r="H76" i="5"/>
  <c r="G76" i="5"/>
  <c r="I76" i="5" s="1"/>
  <c r="G82" i="5"/>
  <c r="I82" i="5" s="1"/>
  <c r="H82" i="5"/>
  <c r="H78" i="5"/>
  <c r="I78" i="5" s="1"/>
  <c r="F73" i="5"/>
  <c r="E22" i="5"/>
  <c r="F22" i="5" s="1"/>
  <c r="E40" i="5"/>
  <c r="F40" i="5" s="1"/>
  <c r="G20" i="5"/>
  <c r="H20" i="5"/>
  <c r="F10" i="5"/>
  <c r="E27" i="5"/>
  <c r="F27" i="5" s="1"/>
  <c r="E12" i="5"/>
  <c r="F12" i="5" s="1"/>
  <c r="E31" i="5"/>
  <c r="F31" i="5" s="1"/>
  <c r="F25" i="5"/>
  <c r="E18" i="5"/>
  <c r="F18" i="5" s="1"/>
  <c r="E36" i="5"/>
  <c r="F36" i="5" s="1"/>
  <c r="H13" i="5"/>
  <c r="G13" i="5"/>
  <c r="I13" i="5" s="1"/>
  <c r="H6" i="5"/>
  <c r="G6" i="5"/>
  <c r="I6" i="5" s="1"/>
  <c r="F37" i="5"/>
  <c r="E28" i="5"/>
  <c r="F28" i="5" s="1"/>
  <c r="E19" i="5"/>
  <c r="F19" i="5" s="1"/>
  <c r="E23" i="5"/>
  <c r="F23" i="5" s="1"/>
  <c r="E41" i="5"/>
  <c r="F41" i="5" s="1"/>
  <c r="E11" i="5"/>
  <c r="F11" i="5" s="1"/>
  <c r="E26" i="5"/>
  <c r="F26" i="5" s="1"/>
  <c r="E35" i="5"/>
  <c r="F35" i="5" s="1"/>
  <c r="F17" i="5"/>
  <c r="E30" i="5"/>
  <c r="F30" i="5" s="1"/>
  <c r="E39" i="5"/>
  <c r="F39" i="5" s="1"/>
  <c r="F8" i="5"/>
  <c r="E24" i="5"/>
  <c r="F24" i="5" s="1"/>
  <c r="E42" i="5"/>
  <c r="F42" i="5" s="1"/>
  <c r="I16" i="19" l="1"/>
  <c r="I19" i="19" s="1"/>
  <c r="H18" i="13"/>
  <c r="I18" i="13" s="1"/>
  <c r="G14" i="13"/>
  <c r="I14" i="13" s="1"/>
  <c r="H4" i="13"/>
  <c r="I4" i="13" s="1"/>
  <c r="H13" i="13"/>
  <c r="G13" i="13"/>
  <c r="I13" i="13" s="1"/>
  <c r="F45" i="17"/>
  <c r="I8" i="17"/>
  <c r="I32" i="17" s="1"/>
  <c r="I44" i="17"/>
  <c r="I44" i="16"/>
  <c r="F44" i="16"/>
  <c r="I32" i="16"/>
  <c r="G39" i="12"/>
  <c r="H13" i="12"/>
  <c r="I39" i="12"/>
  <c r="I13" i="12"/>
  <c r="G40" i="12"/>
  <c r="I40" i="12" s="1"/>
  <c r="H42" i="12"/>
  <c r="I42" i="12" s="1"/>
  <c r="I10" i="12"/>
  <c r="H35" i="12"/>
  <c r="G35" i="12"/>
  <c r="G36" i="12"/>
  <c r="H36" i="12"/>
  <c r="G41" i="12"/>
  <c r="H41" i="12"/>
  <c r="H37" i="12"/>
  <c r="I37" i="12" s="1"/>
  <c r="G30" i="12"/>
  <c r="I30" i="12" s="1"/>
  <c r="I8" i="12"/>
  <c r="G23" i="12"/>
  <c r="I23" i="12" s="1"/>
  <c r="H31" i="12"/>
  <c r="I31" i="12" s="1"/>
  <c r="H18" i="5"/>
  <c r="G27" i="5"/>
  <c r="I20" i="5"/>
  <c r="I19" i="5"/>
  <c r="I36" i="5"/>
  <c r="G25" i="5"/>
  <c r="I25" i="5"/>
  <c r="I26" i="5"/>
  <c r="I41" i="5"/>
  <c r="I40" i="5"/>
  <c r="H22" i="5"/>
  <c r="I23" i="5"/>
  <c r="G10" i="5"/>
  <c r="I10" i="5"/>
  <c r="H31" i="5"/>
  <c r="G12" i="5"/>
  <c r="I12" i="5" s="1"/>
  <c r="H73" i="5"/>
  <c r="G73" i="5"/>
  <c r="I73" i="5" s="1"/>
  <c r="H40" i="5"/>
  <c r="G40" i="5"/>
  <c r="G18" i="5"/>
  <c r="I18" i="5" s="1"/>
  <c r="H10" i="5"/>
  <c r="H25" i="5"/>
  <c r="G22" i="5"/>
  <c r="I22" i="5" s="1"/>
  <c r="G36" i="5"/>
  <c r="H36" i="5"/>
  <c r="H12" i="5"/>
  <c r="G31" i="5"/>
  <c r="H27" i="5"/>
  <c r="I27" i="5" s="1"/>
  <c r="H28" i="5"/>
  <c r="G28" i="5"/>
  <c r="I28" i="5" s="1"/>
  <c r="H41" i="5"/>
  <c r="G41" i="5"/>
  <c r="G24" i="5"/>
  <c r="I24" i="5" s="1"/>
  <c r="H24" i="5"/>
  <c r="G8" i="5"/>
  <c r="I8" i="5" s="1"/>
  <c r="H8" i="5"/>
  <c r="H42" i="5"/>
  <c r="G42" i="5"/>
  <c r="I42" i="5" s="1"/>
  <c r="H37" i="5"/>
  <c r="G37" i="5"/>
  <c r="I37" i="5" s="1"/>
  <c r="H39" i="5"/>
  <c r="G39" i="5"/>
  <c r="I39" i="5" s="1"/>
  <c r="H26" i="5"/>
  <c r="G26" i="5"/>
  <c r="G30" i="5"/>
  <c r="H30" i="5"/>
  <c r="H17" i="5"/>
  <c r="G17" i="5"/>
  <c r="I17" i="5" s="1"/>
  <c r="H35" i="5"/>
  <c r="G35" i="5"/>
  <c r="I35" i="5" s="1"/>
  <c r="G11" i="5"/>
  <c r="I11" i="5" s="1"/>
  <c r="H11" i="5"/>
  <c r="H23" i="5"/>
  <c r="G23" i="5"/>
  <c r="H19" i="5"/>
  <c r="G19" i="5"/>
  <c r="I19" i="18" l="1"/>
  <c r="I19" i="13"/>
  <c r="F19" i="13"/>
  <c r="I45" i="17"/>
  <c r="I47" i="17" s="1"/>
  <c r="H6" i="8" s="1"/>
  <c r="I45" i="16"/>
  <c r="I47" i="16" s="1"/>
  <c r="H5" i="8" s="1"/>
  <c r="F45" i="16"/>
  <c r="I35" i="12"/>
  <c r="I32" i="12"/>
  <c r="I36" i="12"/>
  <c r="I41" i="12"/>
  <c r="F44" i="12"/>
  <c r="F32" i="12"/>
  <c r="I31" i="5"/>
  <c r="I30" i="5"/>
  <c r="I87" i="5"/>
  <c r="F87" i="5"/>
  <c r="F44" i="5"/>
  <c r="F32" i="5"/>
  <c r="F45" i="12" l="1"/>
  <c r="I44" i="12"/>
  <c r="I45" i="12" s="1"/>
  <c r="I47" i="12" s="1"/>
  <c r="H4" i="8" s="1"/>
  <c r="F45" i="5"/>
  <c r="F6" i="11" l="1"/>
  <c r="C6" i="11"/>
  <c r="D6" i="11"/>
  <c r="B6" i="11"/>
  <c r="F5" i="11"/>
  <c r="F4" i="11"/>
  <c r="D16" i="4"/>
  <c r="D17" i="4"/>
  <c r="D15" i="4"/>
  <c r="D6" i="4"/>
  <c r="D4" i="4"/>
  <c r="D5" i="4"/>
  <c r="E6" i="11" l="1"/>
  <c r="E5" i="11"/>
  <c r="I44" i="5" l="1"/>
  <c r="I32" i="5"/>
  <c r="I45" i="5" l="1"/>
  <c r="I47" i="5" s="1"/>
  <c r="G8" i="11" l="1"/>
  <c r="G7" i="11"/>
  <c r="G8" i="8" l="1"/>
  <c r="H5" i="11"/>
  <c r="H6" i="11"/>
  <c r="B7" i="11"/>
  <c r="B8" i="11"/>
  <c r="H4" i="11" l="1"/>
  <c r="E6" i="8"/>
  <c r="G7" i="8"/>
  <c r="E4" i="11"/>
  <c r="C7" i="11"/>
  <c r="C8" i="11"/>
  <c r="D8" i="11"/>
  <c r="D7" i="11"/>
  <c r="F8" i="11" l="1"/>
  <c r="F7" i="11"/>
  <c r="E8" i="11"/>
  <c r="E7" i="11"/>
  <c r="H8" i="11"/>
  <c r="H7" i="11"/>
  <c r="B7" i="8" l="1"/>
  <c r="B8" i="8"/>
  <c r="C7" i="8" l="1"/>
  <c r="C8" i="8"/>
  <c r="D7" i="8"/>
  <c r="D8" i="8"/>
  <c r="E7" i="8" l="1"/>
  <c r="E8" i="8"/>
  <c r="H7" i="8" l="1"/>
  <c r="F7" i="8"/>
  <c r="F8" i="8"/>
  <c r="H8" i="8" l="1"/>
</calcChain>
</file>

<file path=xl/sharedStrings.xml><?xml version="1.0" encoding="utf-8"?>
<sst xmlns="http://schemas.openxmlformats.org/spreadsheetml/2006/main" count="616" uniqueCount="186">
  <si>
    <t>Burden item</t>
  </si>
  <si>
    <t>Subtotal for Reporting Requirements</t>
  </si>
  <si>
    <t>Assumptions:</t>
  </si>
  <si>
    <t>N/A</t>
  </si>
  <si>
    <t>Activity</t>
  </si>
  <si>
    <t>ATTACHMENT 1</t>
  </si>
  <si>
    <t>SUPPORTING STATEMENT</t>
  </si>
  <si>
    <t>Footnotes:</t>
  </si>
  <si>
    <t>(GS-6, step 3) - Clerical</t>
  </si>
  <si>
    <t>(GS- 13, step 5) - Managerial</t>
  </si>
  <si>
    <t>(GS- 12, step 1) - Technical</t>
  </si>
  <si>
    <t>Category (1)</t>
  </si>
  <si>
    <t>EPA Wages ($2016)</t>
  </si>
  <si>
    <t>Managerial</t>
  </si>
  <si>
    <t>Clerical</t>
  </si>
  <si>
    <t>Technical</t>
  </si>
  <si>
    <t>Loaded Wage (3)</t>
  </si>
  <si>
    <t>Hourly Mean Wage (2)</t>
  </si>
  <si>
    <t>Total</t>
  </si>
  <si>
    <t>See 4B</t>
  </si>
  <si>
    <t>Year</t>
  </si>
  <si>
    <t>Technical Hours</t>
  </si>
  <si>
    <t>Clerical Hours</t>
  </si>
  <si>
    <t>Management Hours</t>
  </si>
  <si>
    <t>Total Labor Hours</t>
  </si>
  <si>
    <t>Labor Costs</t>
  </si>
  <si>
    <t>Total Costs</t>
  </si>
  <si>
    <t>Average</t>
  </si>
  <si>
    <t>Total Hours</t>
  </si>
  <si>
    <t>Non-Labor Costs</t>
  </si>
  <si>
    <t>Non-Labor (Capital/Startup and O&amp;M) Costs</t>
  </si>
  <si>
    <t>TABLES 1, 2, and 3</t>
  </si>
  <si>
    <t>TABLE 4</t>
  </si>
  <si>
    <t>TABLES 5, 6, and 7</t>
  </si>
  <si>
    <t>TABLE 8</t>
  </si>
  <si>
    <t>See 4A</t>
  </si>
  <si>
    <t>Wage With  Fringe &amp; Overhead (3)</t>
  </si>
  <si>
    <t>National Emission Standards for Hazardous Air Pollutants for Lime Manufacturing Plants (40 CFR Part 63, Subpart AAAAA)</t>
  </si>
  <si>
    <t>Annual Respondent Burden and Cost of Recordkeeping and Reporting Requirements for the Lime Manufacturing NESHAP LEAN Proposed Rule – Years 1-3</t>
  </si>
  <si>
    <t>Summary of Annual Respondent Burden and Cost of Recordkeeping and Reporting Requirements for the Lime Manufacturing NESHAP LEAN Proposed Rule</t>
  </si>
  <si>
    <t>Annual Agency Burden and Cost of Recordkeeping and Reporting Requirements for the Lime Manufacturing NESHAP LEAN Proposed Rule - Year 1-3</t>
  </si>
  <si>
    <t>Summary of Annual Agency Burden and Cost of Recordkeeping and Reporting Requirements for the Lime Manufacturing NESHAP LEAN Proposed Rule</t>
  </si>
  <si>
    <t xml:space="preserve">(1) The Wage categories "Technical," "Clerical," and "Managerial" refer to the labor category codes 11-3051, 43-6010, and 11-1021, respectively, in the United States Department of Labor, Bureau of Labor Statistics table titled "May 2021 National Industry-Specific Occupational Employment and Wage Estimates NAICS 327000 - Nonmetallic Mineral Product Manufacturing," found here: </t>
  </si>
  <si>
    <t>https://www.bls.gov/oes/current/naics3_327000.htm</t>
  </si>
  <si>
    <t xml:space="preserve">(2) Loaded Wage is the 2021 Wage increased by 110 percent to account for the benefit packages available to those employed by private industry. </t>
  </si>
  <si>
    <t>(1) The hourly mean wage for each category is based on 2021 wages, and are found here:</t>
  </si>
  <si>
    <t>https://www.opm.gov/policy-data-oversight/pay-leave/salaries-wages/salary-tables/21Tables/html/GS_h.aspx</t>
  </si>
  <si>
    <t xml:space="preserve">(2) Wage with fringe and overhead is the hourly mean wage increased by 60 percent to account for the benefit packages available to government employees.  </t>
  </si>
  <si>
    <t>(A)
Person hours per occurrence</t>
  </si>
  <si>
    <t>(B)
No. of occurrences per respondent per year</t>
  </si>
  <si>
    <t>(C) 
Person hours per respondent per year 
(C=AxB)</t>
  </si>
  <si>
    <r>
      <t xml:space="preserve">(D)
Respondents per year  </t>
    </r>
    <r>
      <rPr>
        <b/>
        <vertAlign val="superscript"/>
        <sz val="10"/>
        <color rgb="FF000000"/>
        <rFont val="Times New Roman"/>
        <family val="1"/>
      </rPr>
      <t>a</t>
    </r>
  </si>
  <si>
    <t>(E) 
Technical person- hours per year 
(E=CxD)</t>
  </si>
  <si>
    <t>(F) 
Management person hours per year 
(F=Ex0.05)</t>
  </si>
  <si>
    <t>(G) 
Clerical person hours per year 
(G=Ex0.1)</t>
  </si>
  <si>
    <r>
      <t xml:space="preserve">(H)
Total Cost Per Year ($) </t>
    </r>
    <r>
      <rPr>
        <b/>
        <vertAlign val="superscript"/>
        <sz val="10"/>
        <color rgb="FF000000"/>
        <rFont val="Times New Roman"/>
        <family val="1"/>
      </rPr>
      <t>b</t>
    </r>
  </si>
  <si>
    <t>1.  Applications</t>
  </si>
  <si>
    <t>2.  Survey and Studies</t>
  </si>
  <si>
    <r>
      <t xml:space="preserve">3. Acquisition, Installation, And Utilization of Technology and Systems </t>
    </r>
    <r>
      <rPr>
        <vertAlign val="superscript"/>
        <sz val="10"/>
        <color theme="1"/>
        <rFont val="Times New Roman"/>
        <family val="1"/>
      </rPr>
      <t xml:space="preserve">c </t>
    </r>
  </si>
  <si>
    <t>4. Reporting Requirements</t>
  </si>
  <si>
    <t xml:space="preserve">a. Familiarization with Regulatory Requirements </t>
  </si>
  <si>
    <t>b. Required Activities</t>
  </si>
  <si>
    <r>
      <t xml:space="preserve">Repeat performance tests for existing kilns and material handling </t>
    </r>
    <r>
      <rPr>
        <vertAlign val="superscript"/>
        <sz val="10"/>
        <rFont val="Times New Roman"/>
        <family val="1"/>
      </rPr>
      <t>d, e, f</t>
    </r>
  </si>
  <si>
    <r>
      <t xml:space="preserve">Visible emission (VE) report for material handling </t>
    </r>
    <r>
      <rPr>
        <vertAlign val="superscript"/>
        <sz val="10"/>
        <color theme="1"/>
        <rFont val="Times New Roman"/>
        <family val="1"/>
      </rPr>
      <t>g</t>
    </r>
  </si>
  <si>
    <r>
      <t xml:space="preserve">Annual inspection of capture, collection, and transport system </t>
    </r>
    <r>
      <rPr>
        <vertAlign val="superscript"/>
        <sz val="10"/>
        <color theme="1"/>
        <rFont val="Times New Roman"/>
        <family val="1"/>
      </rPr>
      <t>h</t>
    </r>
  </si>
  <si>
    <r>
      <t xml:space="preserve">Inspection and maintenance of affected sources, control devices, and monitoring systems according to operation, maintenance, and monitoring plan </t>
    </r>
    <r>
      <rPr>
        <vertAlign val="superscript"/>
        <sz val="10"/>
        <color theme="1"/>
        <rFont val="Times New Roman"/>
        <family val="1"/>
      </rPr>
      <t>i</t>
    </r>
  </si>
  <si>
    <t>c. Create Information</t>
  </si>
  <si>
    <t>d. Gather Existing Information</t>
  </si>
  <si>
    <t>e. Write Report</t>
  </si>
  <si>
    <r>
      <t xml:space="preserve">Notification of Applicability </t>
    </r>
    <r>
      <rPr>
        <vertAlign val="superscript"/>
        <sz val="10"/>
        <color theme="1"/>
        <rFont val="Times New Roman"/>
        <family val="1"/>
      </rPr>
      <t>c</t>
    </r>
  </si>
  <si>
    <r>
      <t xml:space="preserve">Notification of Construction/Reconstruction </t>
    </r>
    <r>
      <rPr>
        <vertAlign val="superscript"/>
        <sz val="10"/>
        <color theme="1"/>
        <rFont val="Times New Roman"/>
        <family val="1"/>
      </rPr>
      <t>c</t>
    </r>
  </si>
  <si>
    <r>
      <t xml:space="preserve">Notification of Anticipated Startup </t>
    </r>
    <r>
      <rPr>
        <vertAlign val="superscript"/>
        <sz val="10"/>
        <color theme="1"/>
        <rFont val="Times New Roman"/>
        <family val="1"/>
      </rPr>
      <t>c</t>
    </r>
  </si>
  <si>
    <r>
      <t xml:space="preserve">Notification of Actual Startup </t>
    </r>
    <r>
      <rPr>
        <vertAlign val="superscript"/>
        <sz val="10"/>
        <color theme="1"/>
        <rFont val="Times New Roman"/>
        <family val="1"/>
      </rPr>
      <t>c</t>
    </r>
  </si>
  <si>
    <t>Notification of Special Compliance Requirements</t>
  </si>
  <si>
    <r>
      <t xml:space="preserve">Compliance Extension Request </t>
    </r>
    <r>
      <rPr>
        <vertAlign val="superscript"/>
        <sz val="10"/>
        <color theme="1"/>
        <rFont val="Times New Roman"/>
        <family val="1"/>
      </rPr>
      <t>c</t>
    </r>
  </si>
  <si>
    <r>
      <t xml:space="preserve">Notification of Initial and Repeat Performance Tests </t>
    </r>
    <r>
      <rPr>
        <vertAlign val="superscript"/>
        <sz val="10"/>
        <rFont val="Times New Roman"/>
        <family val="1"/>
      </rPr>
      <t>d, e, f</t>
    </r>
  </si>
  <si>
    <t>Notification of Opacity/VE Observations</t>
  </si>
  <si>
    <r>
      <t xml:space="preserve">Operation, Maintenance, and Monitoring Plan </t>
    </r>
    <r>
      <rPr>
        <vertAlign val="superscript"/>
        <sz val="10"/>
        <color theme="1"/>
        <rFont val="Times New Roman"/>
        <family val="1"/>
      </rPr>
      <t>c</t>
    </r>
  </si>
  <si>
    <r>
      <t xml:space="preserve">Startup, Shutdown, and Malfunction Plan </t>
    </r>
    <r>
      <rPr>
        <vertAlign val="superscript"/>
        <sz val="10"/>
        <color theme="1"/>
        <rFont val="Times New Roman"/>
        <family val="1"/>
      </rPr>
      <t>c</t>
    </r>
  </si>
  <si>
    <r>
      <t xml:space="preserve">Site-Specific Test Plan </t>
    </r>
    <r>
      <rPr>
        <vertAlign val="superscript"/>
        <sz val="10"/>
        <color theme="1"/>
        <rFont val="Times New Roman"/>
        <family val="1"/>
      </rPr>
      <t>c</t>
    </r>
  </si>
  <si>
    <r>
      <t xml:space="preserve">Notification of Compliance Status </t>
    </r>
    <r>
      <rPr>
        <vertAlign val="superscript"/>
        <sz val="10"/>
        <color theme="1"/>
        <rFont val="Times New Roman"/>
        <family val="1"/>
      </rPr>
      <t>c</t>
    </r>
  </si>
  <si>
    <t>Waiver Application</t>
  </si>
  <si>
    <r>
      <t xml:space="preserve">Semiannual Compliance Reports </t>
    </r>
    <r>
      <rPr>
        <vertAlign val="superscript"/>
        <sz val="10"/>
        <color theme="1"/>
        <rFont val="Times New Roman"/>
        <family val="1"/>
      </rPr>
      <t>j</t>
    </r>
  </si>
  <si>
    <r>
      <t xml:space="preserve">Emergency Startup, Shutdown, and Malfunction Reports </t>
    </r>
    <r>
      <rPr>
        <vertAlign val="superscript"/>
        <sz val="10"/>
        <color theme="1"/>
        <rFont val="Times New Roman"/>
        <family val="1"/>
      </rPr>
      <t>k,l</t>
    </r>
  </si>
  <si>
    <t>5. Recordkeeping Requirements</t>
  </si>
  <si>
    <t>a. Familiarization with Regulatory Requirements</t>
  </si>
  <si>
    <t>b. Plan Activities</t>
  </si>
  <si>
    <r>
      <t xml:space="preserve">c. Implement Activities </t>
    </r>
    <r>
      <rPr>
        <vertAlign val="superscript"/>
        <sz val="10"/>
        <color theme="1"/>
        <rFont val="Times New Roman"/>
        <family val="1"/>
      </rPr>
      <t>m</t>
    </r>
  </si>
  <si>
    <t>d. Develop Record System</t>
  </si>
  <si>
    <t>e. Time to Enter Information</t>
  </si>
  <si>
    <r>
      <t xml:space="preserve">Record of All Information Required by Standards </t>
    </r>
    <r>
      <rPr>
        <vertAlign val="superscript"/>
        <sz val="10"/>
        <color theme="1"/>
        <rFont val="Times New Roman"/>
        <family val="1"/>
      </rPr>
      <t>n</t>
    </r>
  </si>
  <si>
    <r>
      <t xml:space="preserve">f. Train Personnel </t>
    </r>
    <r>
      <rPr>
        <vertAlign val="superscript"/>
        <sz val="10"/>
        <color theme="1"/>
        <rFont val="Times New Roman"/>
        <family val="1"/>
      </rPr>
      <t>o</t>
    </r>
  </si>
  <si>
    <r>
      <t xml:space="preserve">g. Time to Adjust Existing Waste to Comply with Previously Applicable Requirements </t>
    </r>
    <r>
      <rPr>
        <vertAlign val="superscript"/>
        <sz val="10"/>
        <color theme="1"/>
        <rFont val="Times New Roman"/>
        <family val="1"/>
      </rPr>
      <t>p</t>
    </r>
  </si>
  <si>
    <r>
      <t xml:space="preserve">h. Time to Transmit or Disclose Information </t>
    </r>
    <r>
      <rPr>
        <vertAlign val="superscript"/>
        <sz val="10"/>
        <color theme="1"/>
        <rFont val="Times New Roman"/>
        <family val="1"/>
      </rPr>
      <t>q</t>
    </r>
  </si>
  <si>
    <t>g. Time for Audits</t>
  </si>
  <si>
    <t xml:space="preserve">Subtotal  for Recordkeeping Requirements  </t>
  </si>
  <si>
    <r>
      <t xml:space="preserve">Total Labor Burden and Costs (rounded) </t>
    </r>
    <r>
      <rPr>
        <b/>
        <vertAlign val="superscript"/>
        <sz val="10"/>
        <color rgb="FF000000"/>
        <rFont val="Times New Roman"/>
        <family val="1"/>
      </rPr>
      <t>r</t>
    </r>
  </si>
  <si>
    <r>
      <t xml:space="preserve">Capital and O&amp;M Cost (rounded) </t>
    </r>
    <r>
      <rPr>
        <b/>
        <vertAlign val="superscript"/>
        <sz val="10"/>
        <color theme="1"/>
        <rFont val="Times New Roman"/>
        <family val="1"/>
      </rPr>
      <t>r</t>
    </r>
  </si>
  <si>
    <r>
      <t xml:space="preserve">Grand Total (rounded) </t>
    </r>
    <r>
      <rPr>
        <b/>
        <vertAlign val="superscript"/>
        <sz val="10"/>
        <color rgb="FF000000"/>
        <rFont val="Times New Roman"/>
        <family val="1"/>
      </rPr>
      <t>r</t>
    </r>
  </si>
  <si>
    <t xml:space="preserve">a.  Assumed that the average number of respondents that will be subject to the rule will be 36 existing respondents. There will be one additional new source per year that will become subject to the rule over the three-year period of this ICR  for an average of 37 existing and new respondents per year. </t>
  </si>
  <si>
    <t>b. This ICR uses the following labor rates: $141.06 per hour for Executive, Administrative, and Managerial labor; $120.27 per hour for Technical labor, and $58.67 per hour for Clerical labor.  These rates are from the United States Department of Labor, Bureau of Labor Statistics, June 2019, “Table 2. Civilian Workers, by Occupational and Industry group.”  The rates are from column 1, “Total Compensation.”  The rates have been increased by 110 percent to account for the benefit packages available to those employed by private industry.</t>
  </si>
  <si>
    <t>c.  This is a one-time only activity. New facilities install kilns and material handling equipment. New facilities submit notifications and plans.</t>
  </si>
  <si>
    <t>d.  Assumed that there will be a total of three new kilns brought into production (installed) over the three year period of the ICR. This averages out to one unit per year. One new kiln per year is expected to conduct an initial Method 5 test. The performance testing costs are covered in Section 6(b)(iii) of the Supporting Statement.</t>
  </si>
  <si>
    <t xml:space="preserve">e.  Respondents must conduct repeat performance tests on existing kilns every 5 years to demonstrate continuous compliance.  There are 102 existing affected kilns. The number of respondents to repeat a performance test is 20.4 performance tests per year (102 affected kilns/5years). </t>
  </si>
  <si>
    <t xml:space="preserve">f.  Respondents must conduct repeat performance tests on existing materials handling operations whose emissions exit through stacks every 5 years to demonstrate continuous compliance.  There are 11 existing affected materials handling operations with stacks that would conduct a Method 5 performance test every 5 years. The number of respondents to repeat a performance test is 2.2 performance tests per year (11 affected materials handling operations/5years). </t>
  </si>
  <si>
    <t>g.  Assumed that each respondent will take 8 hours to complete the annual visible emission (VE) tests for material handling.</t>
  </si>
  <si>
    <t>h.  Assumed that each respondent will take 8 hours to complete the annual inspection of the capture, collection, and transport system.</t>
  </si>
  <si>
    <t>i.  Assumed that each respondent will take 4 hours to complete the inspection and maintenance of affected sources, control devices, and monitoring systems according to operation, maintenance, and monitoring plan.</t>
  </si>
  <si>
    <t>j.   Assumed that it will take 8 hours each and two times per year to complete semiannual compliance reports.</t>
  </si>
  <si>
    <t>k.   Assumed that it will take 8 hours once a year to write the emergency startup, shutdown, or malfunction reports.</t>
  </si>
  <si>
    <t>l.  Assumed that 5 percent of respondents will have to complete the emergency startup, shutdown, or malfunction reports.</t>
  </si>
  <si>
    <t>m.   Assumed that it will take 12 hours to record activities implemented.</t>
  </si>
  <si>
    <t>n. Assumed that all respondents will take 3 hours each to enter records of all the required information 52 times a year.</t>
  </si>
  <si>
    <t>o.  Assumed that it will take 3 hours to train each personnel.</t>
  </si>
  <si>
    <t>p.  Assumed that it will take 3 hours for each respondent to adjust existing ways to comply with previously applicable requirements.</t>
  </si>
  <si>
    <t>q.  Assumed that respondents are required to transmit/disclose information twice per year.</t>
  </si>
  <si>
    <t xml:space="preserve">r.  Totals are rounded to three significant figures. Figures may not add up exactly due to rounding. </t>
  </si>
  <si>
    <t>2020 ICR Hourly Wages</t>
  </si>
  <si>
    <t>Table A: 2020 ICR (OMB Control No. 2060-0544) Annual Respondent Burden and Cost – Lime Manufacturing Plants (40 CFR Part 63, Subpart AAAAA)</t>
  </si>
  <si>
    <t>Table B: 2020 ICR (OMB Control No. 2060-0544) Average Annual EPA Burden and Cost – NESHAP for Lime Manufacturing (40 CFR Part 63, Subpart AAAAA)</t>
  </si>
  <si>
    <t>(A)
EPA person hours per occurrence</t>
  </si>
  <si>
    <t>(B)
No. of occurrences per plant per year</t>
  </si>
  <si>
    <t>(C)
EPA person hours per respondent per year 
(C=AxB)</t>
  </si>
  <si>
    <r>
      <t xml:space="preserve">(D)
Plants per year  </t>
    </r>
    <r>
      <rPr>
        <b/>
        <vertAlign val="superscript"/>
        <sz val="10"/>
        <color rgb="FF000000"/>
        <rFont val="Times New Roman"/>
        <family val="1"/>
      </rPr>
      <t>a</t>
    </r>
  </si>
  <si>
    <t>(G)
Clerical person hours per year 
(G=Ex0.1)</t>
  </si>
  <si>
    <r>
      <t xml:space="preserve">Initial Performance Tests </t>
    </r>
    <r>
      <rPr>
        <vertAlign val="superscript"/>
        <sz val="10"/>
        <color theme="1"/>
        <rFont val="Times New Roman"/>
        <family val="1"/>
      </rPr>
      <t>c</t>
    </r>
  </si>
  <si>
    <t>Labor Rates</t>
  </si>
  <si>
    <r>
      <t xml:space="preserve">Retesting Preparation for Repeat Performance Tests </t>
    </r>
    <r>
      <rPr>
        <vertAlign val="superscript"/>
        <sz val="10"/>
        <color theme="1"/>
        <rFont val="Times New Roman"/>
        <family val="1"/>
      </rPr>
      <t>d</t>
    </r>
  </si>
  <si>
    <t>Management</t>
  </si>
  <si>
    <r>
      <t xml:space="preserve">Repeat Performance Tests </t>
    </r>
    <r>
      <rPr>
        <vertAlign val="superscript"/>
        <sz val="10"/>
        <color theme="1"/>
        <rFont val="Times New Roman"/>
        <family val="1"/>
      </rPr>
      <t>d</t>
    </r>
  </si>
  <si>
    <t>Report Review</t>
  </si>
  <si>
    <t>Notification of Applicability</t>
  </si>
  <si>
    <t>Notification of Construction/Reconstruction</t>
  </si>
  <si>
    <t>Notification of Anticipated Startup</t>
  </si>
  <si>
    <t>Notification of Actual Startup</t>
  </si>
  <si>
    <t>Notification of Initial Performance Tests</t>
  </si>
  <si>
    <t>Notification of Compliance Status</t>
  </si>
  <si>
    <r>
      <t xml:space="preserve">Review of Repeat Performance Test Report </t>
    </r>
    <r>
      <rPr>
        <vertAlign val="superscript"/>
        <sz val="10"/>
        <rFont val="Times New Roman"/>
        <family val="1"/>
      </rPr>
      <t>e</t>
    </r>
  </si>
  <si>
    <t>Review of Semiannual Compliance Report</t>
  </si>
  <si>
    <t>Review of Waiver Application</t>
  </si>
  <si>
    <r>
      <t xml:space="preserve">Review of Emergency Startup, Shutdown, and Malfunction Report </t>
    </r>
    <r>
      <rPr>
        <vertAlign val="superscript"/>
        <sz val="10"/>
        <color theme="1"/>
        <rFont val="Times New Roman"/>
        <family val="1"/>
      </rPr>
      <t>f</t>
    </r>
  </si>
  <si>
    <r>
      <t xml:space="preserve">Total (rounded) </t>
    </r>
    <r>
      <rPr>
        <b/>
        <vertAlign val="superscript"/>
        <sz val="10"/>
        <rFont val="Times New Roman"/>
        <family val="1"/>
      </rPr>
      <t>g</t>
    </r>
  </si>
  <si>
    <t>a.  Assumed that the average number of respondents that will be subject to the rule will be 36 existing respondents. There will be one additional new source per year that will become subject to the rule over the three-year period of this ICR for an average of 37 existing and new respondents per year.</t>
  </si>
  <si>
    <t>b.  This ICR uses the following labor rates:  $66.62 for managerial, $49.44 for technical,  and $26.75 for clerical labor.   These rates are from the Office of Personnel Management (OPM), 2019 General Schedule, which excludes locality rates of pay.  The rates have been increased by 60 percent to account for the benefit packages available to government employees.</t>
  </si>
  <si>
    <t>c.  One new source per year will conduct a performance test on their kiln and materials handling operations. The Agency will spend 40 hours to attend the test and review the performance test report.</t>
  </si>
  <si>
    <t>d.  To demonstrate continuous compliance, plants must conduct repeat performance tests every 5 years.  The number of respondents to repeat performance test is 22.6 tests/year ((102 existing kilns + 11 existing materials handling operations)/5years = 22.6 performance tests per year). Assumed that it will take 40 hours for respondents to repeat performance tests.</t>
  </si>
  <si>
    <t>e.  Assumed that it will take 2 hours for respondents to review repeat performance test report.</t>
  </si>
  <si>
    <t>f. Assumed five percent of sources will need to submit emergency startup, shutdown, and malfunction reports.</t>
  </si>
  <si>
    <t xml:space="preserve">g. Totals have been rounded to three significant figures. Figures may not add together exactly due to rounding. </t>
  </si>
  <si>
    <t>2020 ICR Labor Rates</t>
  </si>
  <si>
    <t>Hourly Wages</t>
  </si>
  <si>
    <t>c.  No new facilities are expected to be built in this time period..</t>
  </si>
  <si>
    <t xml:space="preserve">a.  Assumed that the average number of respondents that will be subject to the rule will be 35 existing respondents. There will be no new sources per year that will become subject to the rule. </t>
  </si>
  <si>
    <r>
      <t xml:space="preserve">b. This ICR uses the  United States Department of Labor, Bureau of Labor Statistics, May 2021 National Industry-Specific Occupational Employment and Wages Estiates for NAICS 327000 - </t>
    </r>
    <r>
      <rPr>
        <i/>
        <sz val="10"/>
        <rFont val="Times New Roman"/>
        <family val="1"/>
      </rPr>
      <t>Nonmetallic Mineral Product Manufacturing.</t>
    </r>
    <r>
      <rPr>
        <sz val="10"/>
        <rFont val="Times New Roman"/>
        <family val="1"/>
      </rPr>
      <t xml:space="preserve"> The mean hourly rate (column 8 of the table) for occupational codes 11-1021 </t>
    </r>
    <r>
      <rPr>
        <i/>
        <sz val="10"/>
        <rFont val="Times New Roman"/>
        <family val="1"/>
      </rPr>
      <t>General and Operational Managers</t>
    </r>
    <r>
      <rPr>
        <sz val="10"/>
        <rFont val="Times New Roman"/>
        <family val="1"/>
      </rPr>
      <t xml:space="preserve">, 11-3051 </t>
    </r>
    <r>
      <rPr>
        <i/>
        <sz val="10"/>
        <rFont val="Times New Roman"/>
        <family val="1"/>
      </rPr>
      <t xml:space="preserve"> Industrial Production Managers</t>
    </r>
    <r>
      <rPr>
        <sz val="10"/>
        <rFont val="Times New Roman"/>
        <family val="1"/>
      </rPr>
      <t xml:space="preserve">, and 43-6010 </t>
    </r>
    <r>
      <rPr>
        <i/>
        <sz val="10"/>
        <rFont val="Times New Roman"/>
        <family val="1"/>
      </rPr>
      <t xml:space="preserve">Secretaries and Administrative Assistants </t>
    </r>
    <r>
      <rPr>
        <sz val="10"/>
        <rFont val="Times New Roman"/>
        <family val="1"/>
      </rPr>
      <t>were used for Managerial ($56.06), Technical ($50.74), and clerical ($20.70) respectively.</t>
    </r>
    <r>
      <rPr>
        <i/>
        <sz val="10"/>
        <rFont val="Times New Roman"/>
        <family val="1"/>
      </rPr>
      <t xml:space="preserve"> </t>
    </r>
    <r>
      <rPr>
        <sz val="10"/>
        <rFont val="Times New Roman"/>
        <family val="1"/>
      </rPr>
      <t>The rates have been increased by 110 percent to account for the benefit packages available to those employed by private industry.</t>
    </r>
  </si>
  <si>
    <t>Respondent Wages ($2021)</t>
  </si>
  <si>
    <t xml:space="preserve">d. All respondants are required to perform initial performance testing in the first year.  </t>
  </si>
  <si>
    <t xml:space="preserve">e.  Respondents must conduct repeat performance tests on existing kilns every 5 years to demonstrate continuous compliance.   </t>
  </si>
  <si>
    <r>
      <t xml:space="preserve">Initial performance tests for existing kilns  </t>
    </r>
    <r>
      <rPr>
        <vertAlign val="superscript"/>
        <sz val="10"/>
        <rFont val="Times New Roman"/>
        <family val="1"/>
      </rPr>
      <t>d, e</t>
    </r>
  </si>
  <si>
    <r>
      <t xml:space="preserve">Notification of Initial and Repeat Performance Tests </t>
    </r>
    <r>
      <rPr>
        <vertAlign val="superscript"/>
        <sz val="10"/>
        <rFont val="Times New Roman"/>
        <family val="1"/>
      </rPr>
      <t>d, e</t>
    </r>
  </si>
  <si>
    <r>
      <t xml:space="preserve">g. Time to Adjust Existing Ways to Comply with Previously Applicable Requirements </t>
    </r>
    <r>
      <rPr>
        <vertAlign val="superscript"/>
        <sz val="10"/>
        <color theme="1"/>
        <rFont val="Times New Roman"/>
        <family val="1"/>
      </rPr>
      <t>p</t>
    </r>
  </si>
  <si>
    <t>a.  Assumed that the average number of respondents that will be subject to the rule will be 35 existing respondents. There will be no new sources per year that will become subject to the rule over the three-year period of this ICR.</t>
  </si>
  <si>
    <t>b.  This ICR uses the following labor rates:  $43.15for managerial, $32.02 for technical,  and $17.33 for clerical labor.   These rates are from the Office of Personnel Management (OPM), 2020 General Schedule, which excludes locality rates of pay.  The rates have been increased by 60 percent to account for the benefit packages available to government employees.</t>
  </si>
  <si>
    <t>c.  No new sources per year for this action.</t>
  </si>
  <si>
    <t>d.  To demonstrate continuous compliance, plants must conduct repeat performance tests every 5 years. Assumed that it will take 40 hours for respondents to repeat performance tests.</t>
  </si>
  <si>
    <t>f.  Assumed that each respondent will take 4 hours to complete the inspection and maintenance of affected sources, control devices, and monitoring systems according to operation, maintenance, and monitoring plan.</t>
  </si>
  <si>
    <t>g.   Assumed that it will take 8 hours each and two times per year to complete semiannual compliance reports.</t>
  </si>
  <si>
    <t>h.   Assumed that it will take 8 hours once a year to write the emergency startup, shutdown, or malfunction reports.</t>
  </si>
  <si>
    <t>i.   Assumed that it will take 12 hours to record activities implemented.</t>
  </si>
  <si>
    <t>j. Assumed that all respondents will take 3 hours each to enter records of all the required information 52 times a year.</t>
  </si>
  <si>
    <t>k.  Assumed that it will take 3 hours to train each personnel.</t>
  </si>
  <si>
    <t>l.  Assumed that it will take 3 hours for each respondent to adjust existing ways to comply with previously applicable requirements.</t>
  </si>
  <si>
    <t>m.  Assumed that respondents are required to transmit/disclose information twice per year.</t>
  </si>
  <si>
    <t xml:space="preserve">n.  Totals are rounded to three significant figures. Figures may not add up exactly due to rounding. </t>
  </si>
  <si>
    <t>i.   Assumed that this action was acoomplished in year 1, and not required in years 2 and 3.</t>
  </si>
  <si>
    <t>k.  Assumed that this action was accomplished in year 1 and not required in years 2 and 3.</t>
  </si>
  <si>
    <t>l.  Assumed that this action was accomplished in year 1 and not required in years 2 and 3.</t>
  </si>
  <si>
    <t xml:space="preserve">f. Totals have been rounded to three significant figures. Figures may not add together exactly due to rounding. </t>
  </si>
  <si>
    <r>
      <t xml:space="preserve">b. This ICR uses the  United States Department of Labor, Bureau of Labor Statistics, May 2021 National Industry-Specific Occupational Employment and Wages Estimates for NAICS 327000 - </t>
    </r>
    <r>
      <rPr>
        <i/>
        <sz val="10"/>
        <rFont val="Times New Roman"/>
        <family val="1"/>
      </rPr>
      <t>Nonmetallic Mineral Product Manufacturing.</t>
    </r>
    <r>
      <rPr>
        <sz val="10"/>
        <rFont val="Times New Roman"/>
        <family val="1"/>
      </rPr>
      <t xml:space="preserve"> The mean hourly rate (column 8 of the table) for occupational codes 11-1021 </t>
    </r>
    <r>
      <rPr>
        <i/>
        <sz val="10"/>
        <rFont val="Times New Roman"/>
        <family val="1"/>
      </rPr>
      <t>General and Operational Managers</t>
    </r>
    <r>
      <rPr>
        <sz val="10"/>
        <rFont val="Times New Roman"/>
        <family val="1"/>
      </rPr>
      <t xml:space="preserve">, 11-3051 </t>
    </r>
    <r>
      <rPr>
        <i/>
        <sz val="10"/>
        <rFont val="Times New Roman"/>
        <family val="1"/>
      </rPr>
      <t xml:space="preserve"> Industrial Production Managers</t>
    </r>
    <r>
      <rPr>
        <sz val="10"/>
        <rFont val="Times New Roman"/>
        <family val="1"/>
      </rPr>
      <t xml:space="preserve">, and 43-6010 </t>
    </r>
    <r>
      <rPr>
        <i/>
        <sz val="10"/>
        <rFont val="Times New Roman"/>
        <family val="1"/>
      </rPr>
      <t xml:space="preserve">Secretaries and Administrative Assistants </t>
    </r>
    <r>
      <rPr>
        <sz val="10"/>
        <rFont val="Times New Roman"/>
        <family val="1"/>
      </rPr>
      <t>were used for Managerial ($56.06), Technical ($50.74), and clerical ($20.70) respectively.</t>
    </r>
    <r>
      <rPr>
        <i/>
        <sz val="10"/>
        <rFont val="Times New Roman"/>
        <family val="1"/>
      </rPr>
      <t xml:space="preserve"> </t>
    </r>
    <r>
      <rPr>
        <sz val="10"/>
        <rFont val="Times New Roman"/>
        <family val="1"/>
      </rPr>
      <t>The rates have been increased by 110 percent to account for the benefit packages available to those employed by private industry.</t>
    </r>
  </si>
  <si>
    <t>Table 1 : Annual Respondent Burden and Cost Year One – Lime Manufacturing Plants (40 CFR Part 63, Subpart AAAAA) (2022 Proposed Rule)</t>
  </si>
  <si>
    <t>Table 2 : Annual Respondent Burden and Cost Year Two – Lime Manufacturing Plants (40 CFR Part 63, Subpart AAAAA) (2022 Proposed Rule)</t>
  </si>
  <si>
    <t>Table 3 : Annual Respondent Burden and Cost Year Three – Lime Manufacturing Plants (40 CFR Part 63, Subpart AAAAA) (2022 Proposed Rule)</t>
  </si>
  <si>
    <t>Table 4 - Summary of Annual Respondent Burden and Cost of Recordkeeping and Reporting Requirements for the Lime Manufacturing Plants (40 CFR Part 63, Subpart AAAAA) (2022 Proposed Rule)</t>
  </si>
  <si>
    <r>
      <t xml:space="preserve">Table 5: Average Annual EPA Burden and Cost Year One – </t>
    </r>
    <r>
      <rPr>
        <b/>
        <sz val="12"/>
        <color theme="1"/>
        <rFont val="Times New Roman"/>
        <family val="1"/>
      </rPr>
      <t>Lime Manufacturing Plants (40 CFR Part 63, Subpart AAAAA) (2022 Proposed Rule)</t>
    </r>
  </si>
  <si>
    <r>
      <t xml:space="preserve">Table 6: Average Annual EPA Burden and Cost Year Two – </t>
    </r>
    <r>
      <rPr>
        <b/>
        <sz val="12"/>
        <color theme="1"/>
        <rFont val="Times New Roman"/>
        <family val="1"/>
      </rPr>
      <t>Lime Manufacturing Plants (40 CFR Part 63, Subpart AAAAA) (2022 Proposed Rule)</t>
    </r>
  </si>
  <si>
    <r>
      <t xml:space="preserve">Table 7: Average Annual EPA Burden and Cost Year Three – </t>
    </r>
    <r>
      <rPr>
        <b/>
        <sz val="12"/>
        <color theme="1"/>
        <rFont val="Times New Roman"/>
        <family val="1"/>
      </rPr>
      <t>Lime Manufacturing Plants (40 CFR Part 63, Subpart AAAAA) (2022 Proposed Rule)</t>
    </r>
  </si>
  <si>
    <t>Table 8 - Summary of Annual Agency Burden and Cost of Recordkeeping and Reporting Requirements for the Lime Manufacturing Plants (40 CFR Part 63, Subpart AAAAA) (2022 Proposed Rule)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</si>
</sst>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164" formatCode="General_)"/>
    <numFmt numFmtId="165" formatCode="&quot;$&quot;#,##0"/>
    <numFmt numFmtId="166" formatCode="&quot;$&quot;#,##0.00"/>
    <numFmt numFmtId="167" formatCode="#,##0.0"/>
    <numFmt numFmtId="168" formatCode="0.0"/>
  </numFmts>
  <fonts count="34" x14ac:knownFonts="1">
    <font>
      <sz val="11"/>
      <color theme="1"/>
      <name val="Calibri"/>
      <family val="2"/>
      <scheme val="minor"/>
    </font>
    <font>
      <sz val="10"/>
      <name val="Arial"/>
      <family val="2"/>
    </font>
    <font>
      <sz val="10"/>
      <color rgb="FF000000"/>
      <name val="Times New Roman"/>
      <family val="1"/>
    </font>
    <font>
      <sz val="10"/>
      <name val="Times New Roman"/>
      <family val="1"/>
    </font>
    <font>
      <b/>
      <sz val="10"/>
      <color theme="1"/>
      <name val="Times New Roman"/>
      <family val="1"/>
    </font>
    <font>
      <sz val="12"/>
      <color theme="1"/>
      <name val="Times New Roman"/>
      <family val="1"/>
    </font>
    <font>
      <sz val="12"/>
      <color rgb="FF000000"/>
      <name val="Times New Roman"/>
      <family val="1"/>
    </font>
    <font>
      <b/>
      <sz val="12"/>
      <color rgb="FF000000"/>
      <name val="Times New Roman"/>
      <family val="1"/>
    </font>
    <font>
      <b/>
      <sz val="12"/>
      <color theme="1"/>
      <name val="Times New Roman"/>
      <family val="1"/>
    </font>
    <font>
      <u/>
      <sz val="11"/>
      <color theme="10"/>
      <name val="Calibri"/>
      <family val="2"/>
    </font>
    <font>
      <sz val="8"/>
      <name val="Courier"/>
      <family val="3"/>
    </font>
    <font>
      <u/>
      <sz val="11"/>
      <color theme="10"/>
      <name val="Calibri"/>
      <family val="2"/>
      <scheme val="minor"/>
    </font>
    <font>
      <vertAlign val="superscript"/>
      <sz val="12"/>
      <color theme="1"/>
      <name val="Times New Roman"/>
      <family val="1"/>
    </font>
    <font>
      <sz val="10"/>
      <color theme="1"/>
      <name val="Times New Roman"/>
      <family val="1"/>
    </font>
    <font>
      <b/>
      <sz val="10"/>
      <color rgb="FF000000"/>
      <name val="Times New Roman"/>
      <family val="1"/>
    </font>
    <font>
      <b/>
      <sz val="8"/>
      <color rgb="FFFF0000"/>
      <name val="Times New Roman"/>
      <family val="1"/>
    </font>
    <font>
      <b/>
      <sz val="10"/>
      <name val="Times New Roman"/>
      <family val="1"/>
    </font>
    <font>
      <b/>
      <i/>
      <sz val="10"/>
      <color theme="1"/>
      <name val="Times New Roman"/>
      <family val="1"/>
    </font>
    <font>
      <b/>
      <i/>
      <sz val="10"/>
      <color rgb="FF000000"/>
      <name val="Times New Roman"/>
      <family val="1"/>
    </font>
    <font>
      <sz val="12"/>
      <color rgb="FFFF0000"/>
      <name val="Times New Roman"/>
      <family val="1"/>
    </font>
    <font>
      <b/>
      <i/>
      <sz val="8"/>
      <color rgb="FFFF0000"/>
      <name val="Times New Roman"/>
      <family val="1"/>
    </font>
    <font>
      <b/>
      <sz val="11"/>
      <color theme="1"/>
      <name val="Times New Roman"/>
      <family val="1"/>
    </font>
    <font>
      <vertAlign val="superscript"/>
      <sz val="10"/>
      <color rgb="FF000000"/>
      <name val="Times New Roman"/>
      <family val="1"/>
    </font>
    <font>
      <b/>
      <vertAlign val="superscript"/>
      <sz val="10"/>
      <color rgb="FF000000"/>
      <name val="Times New Roman"/>
      <family val="1"/>
    </font>
    <font>
      <sz val="11"/>
      <color theme="1"/>
      <name val="Calibri"/>
      <family val="2"/>
      <scheme val="minor"/>
    </font>
    <font>
      <sz val="11"/>
      <color theme="1"/>
      <name val="Times New Roman"/>
      <family val="1"/>
    </font>
    <font>
      <vertAlign val="superscript"/>
      <sz val="10"/>
      <color theme="1"/>
      <name val="Times New Roman"/>
      <family val="1"/>
    </font>
    <font>
      <b/>
      <sz val="12"/>
      <name val="Times New Roman"/>
      <family val="1"/>
    </font>
    <font>
      <sz val="12"/>
      <name val="Times New Roman"/>
      <family val="1"/>
    </font>
    <font>
      <u/>
      <sz val="12"/>
      <color theme="10"/>
      <name val="Times New Roman"/>
      <family val="1"/>
    </font>
    <font>
      <vertAlign val="superscript"/>
      <sz val="10"/>
      <name val="Times New Roman"/>
      <family val="1"/>
    </font>
    <font>
      <b/>
      <vertAlign val="superscript"/>
      <sz val="10"/>
      <color theme="1"/>
      <name val="Times New Roman"/>
      <family val="1"/>
    </font>
    <font>
      <b/>
      <vertAlign val="superscript"/>
      <sz val="10"/>
      <name val="Times New Roman"/>
      <family val="1"/>
    </font>
    <font>
      <i/>
      <sz val="10"/>
      <name val="Times New Roman"/>
      <family val="1"/>
    </font>
  </fonts>
  <fills count="6">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7">
    <xf numFmtId="0" fontId="0" fillId="0" borderId="0"/>
    <xf numFmtId="0" fontId="9" fillId="0" borderId="0" applyNumberFormat="0" applyFill="0" applyBorder="0" applyAlignment="0" applyProtection="0">
      <alignment vertical="top"/>
      <protection locked="0"/>
    </xf>
    <xf numFmtId="0" fontId="10" fillId="0" borderId="0"/>
    <xf numFmtId="0" fontId="1" fillId="0" borderId="0"/>
    <xf numFmtId="0" fontId="11" fillId="0" borderId="0" applyNumberFormat="0" applyFill="0" applyBorder="0" applyAlignment="0" applyProtection="0"/>
    <xf numFmtId="0" fontId="1" fillId="0" borderId="0"/>
    <xf numFmtId="44" fontId="24" fillId="0" borderId="0" applyFont="0" applyFill="0" applyBorder="0" applyAlignment="0" applyProtection="0"/>
  </cellStyleXfs>
  <cellXfs count="178">
    <xf numFmtId="0" fontId="0" fillId="0" borderId="0" xfId="0"/>
    <xf numFmtId="0" fontId="5" fillId="0" borderId="0" xfId="0" applyFont="1" applyAlignment="1">
      <alignment horizontal="left" vertical="center" indent="10"/>
    </xf>
    <xf numFmtId="0" fontId="6" fillId="0" borderId="0" xfId="0" applyFont="1" applyAlignment="1">
      <alignment vertical="center"/>
    </xf>
    <xf numFmtId="0" fontId="7" fillId="0" borderId="0" xfId="0" applyFont="1" applyAlignment="1">
      <alignment vertical="center"/>
    </xf>
    <xf numFmtId="0" fontId="5" fillId="0" borderId="0" xfId="0" applyFont="1" applyAlignment="1">
      <alignment vertical="center"/>
    </xf>
    <xf numFmtId="0" fontId="8" fillId="0" borderId="0" xfId="0" applyFont="1" applyAlignment="1">
      <alignment vertical="center"/>
    </xf>
    <xf numFmtId="0" fontId="3" fillId="0" borderId="0" xfId="0" applyFont="1" applyFill="1" applyBorder="1" applyAlignment="1"/>
    <xf numFmtId="0" fontId="3" fillId="0" borderId="0" xfId="0" applyFont="1" applyFill="1" applyBorder="1"/>
    <xf numFmtId="0" fontId="15" fillId="0" borderId="0" xfId="0" applyFont="1" applyFill="1" applyBorder="1"/>
    <xf numFmtId="0" fontId="13" fillId="0" borderId="1" xfId="0" applyFont="1" applyFill="1" applyBorder="1" applyAlignment="1">
      <alignment horizontal="center" vertical="center"/>
    </xf>
    <xf numFmtId="0" fontId="19" fillId="0" borderId="0" xfId="0" applyFont="1" applyFill="1" applyBorder="1"/>
    <xf numFmtId="0" fontId="20" fillId="0" borderId="0" xfId="0" applyFont="1" applyFill="1" applyBorder="1"/>
    <xf numFmtId="0" fontId="14" fillId="0" borderId="1" xfId="0" applyFont="1" applyBorder="1" applyAlignment="1">
      <alignment vertical="center"/>
    </xf>
    <xf numFmtId="0" fontId="4" fillId="0" borderId="1" xfId="0" applyFont="1" applyBorder="1" applyAlignment="1">
      <alignment vertical="center"/>
    </xf>
    <xf numFmtId="0" fontId="14" fillId="0" borderId="0" xfId="0" applyFont="1" applyAlignment="1">
      <alignment vertical="center"/>
    </xf>
    <xf numFmtId="0" fontId="22" fillId="0" borderId="0" xfId="0" applyFont="1" applyAlignment="1">
      <alignment vertical="center"/>
    </xf>
    <xf numFmtId="0" fontId="2" fillId="0" borderId="1" xfId="0" applyFont="1" applyBorder="1" applyAlignment="1">
      <alignment horizontal="center" vertical="center"/>
    </xf>
    <xf numFmtId="0" fontId="14" fillId="0" borderId="1" xfId="0" applyFont="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2" fillId="0" borderId="0" xfId="0" applyFont="1" applyFill="1" applyBorder="1" applyAlignment="1">
      <alignment horizontal="right"/>
    </xf>
    <xf numFmtId="6" fontId="2" fillId="0" borderId="0" xfId="0" applyNumberFormat="1" applyFont="1" applyFill="1" applyBorder="1" applyAlignment="1">
      <alignment horizontal="right"/>
    </xf>
    <xf numFmtId="6" fontId="13" fillId="0" borderId="0" xfId="0" applyNumberFormat="1" applyFont="1" applyFill="1" applyBorder="1" applyAlignment="1">
      <alignment horizontal="right" vertical="top"/>
    </xf>
    <xf numFmtId="6" fontId="17" fillId="0" borderId="0" xfId="0" applyNumberFormat="1" applyFont="1" applyFill="1" applyBorder="1" applyAlignment="1">
      <alignment horizontal="right" vertical="top"/>
    </xf>
    <xf numFmtId="6" fontId="16" fillId="0" borderId="0" xfId="0" applyNumberFormat="1" applyFont="1" applyFill="1" applyBorder="1" applyAlignment="1">
      <alignment horizontal="right"/>
    </xf>
    <xf numFmtId="6" fontId="16" fillId="0" borderId="0" xfId="0" applyNumberFormat="1" applyFont="1" applyFill="1" applyBorder="1"/>
    <xf numFmtId="8" fontId="17" fillId="0" borderId="0" xfId="0" applyNumberFormat="1" applyFont="1" applyFill="1" applyBorder="1" applyAlignment="1">
      <alignment horizontal="right" vertical="top"/>
    </xf>
    <xf numFmtId="8" fontId="17" fillId="0" borderId="10" xfId="0" applyNumberFormat="1" applyFont="1" applyFill="1" applyBorder="1" applyAlignment="1">
      <alignment horizontal="right" vertical="top"/>
    </xf>
    <xf numFmtId="0" fontId="3" fillId="0" borderId="0" xfId="0" applyFont="1" applyFill="1" applyBorder="1" applyAlignment="1">
      <alignment wrapText="1"/>
    </xf>
    <xf numFmtId="0" fontId="25" fillId="0" borderId="0" xfId="0" applyFont="1"/>
    <xf numFmtId="0" fontId="5" fillId="0" borderId="0" xfId="0" applyFont="1"/>
    <xf numFmtId="0" fontId="8" fillId="0" borderId="0" xfId="0" applyFont="1"/>
    <xf numFmtId="0" fontId="12" fillId="0" borderId="0" xfId="0" applyFont="1" applyAlignment="1">
      <alignment vertical="center"/>
    </xf>
    <xf numFmtId="0" fontId="27" fillId="4" borderId="1" xfId="5" applyFont="1" applyFill="1" applyBorder="1" applyAlignment="1">
      <alignment horizontal="center"/>
    </xf>
    <xf numFmtId="17" fontId="27" fillId="4" borderId="1" xfId="5" applyNumberFormat="1" applyFont="1" applyFill="1" applyBorder="1" applyAlignment="1">
      <alignment horizontal="center"/>
    </xf>
    <xf numFmtId="0" fontId="27" fillId="3" borderId="1" xfId="5" applyFont="1" applyFill="1" applyBorder="1" applyAlignment="1">
      <alignment horizontal="center"/>
    </xf>
    <xf numFmtId="0" fontId="5" fillId="0" borderId="1" xfId="0" applyFont="1" applyBorder="1"/>
    <xf numFmtId="166" fontId="28" fillId="0" borderId="1" xfId="0" applyNumberFormat="1" applyFont="1" applyBorder="1" applyAlignment="1">
      <alignment horizontal="center"/>
    </xf>
    <xf numFmtId="166" fontId="28" fillId="0" borderId="1" xfId="0" applyNumberFormat="1" applyFont="1" applyFill="1" applyBorder="1" applyAlignment="1">
      <alignment horizontal="center"/>
    </xf>
    <xf numFmtId="0" fontId="28" fillId="0" borderId="10" xfId="1" applyFont="1" applyBorder="1" applyAlignment="1" applyProtection="1"/>
    <xf numFmtId="0" fontId="28" fillId="0" borderId="0" xfId="0" applyFont="1" applyBorder="1"/>
    <xf numFmtId="2" fontId="28" fillId="0" borderId="11" xfId="0" applyNumberFormat="1" applyFont="1" applyFill="1" applyBorder="1"/>
    <xf numFmtId="0" fontId="29" fillId="0" borderId="0" xfId="1" applyFont="1" applyAlignment="1" applyProtection="1"/>
    <xf numFmtId="0" fontId="27" fillId="4" borderId="1" xfId="3" applyFont="1" applyFill="1" applyBorder="1" applyAlignment="1">
      <alignment horizontal="center" wrapText="1"/>
    </xf>
    <xf numFmtId="0" fontId="27" fillId="3" borderId="1" xfId="3" applyFont="1" applyFill="1" applyBorder="1" applyAlignment="1">
      <alignment horizontal="center" wrapText="1"/>
    </xf>
    <xf numFmtId="0" fontId="28" fillId="0" borderId="1" xfId="3" applyFont="1" applyFill="1" applyBorder="1"/>
    <xf numFmtId="166" fontId="28" fillId="0" borderId="1" xfId="3" applyNumberFormat="1" applyFont="1" applyFill="1" applyBorder="1" applyAlignment="1">
      <alignment horizontal="center"/>
    </xf>
    <xf numFmtId="166" fontId="28" fillId="0" borderId="1" xfId="2" applyNumberFormat="1" applyFont="1" applyFill="1" applyBorder="1" applyAlignment="1">
      <alignment horizontal="center"/>
    </xf>
    <xf numFmtId="0" fontId="28" fillId="0" borderId="1" xfId="2" applyFont="1" applyFill="1" applyBorder="1"/>
    <xf numFmtId="166" fontId="28" fillId="0" borderId="0" xfId="3" applyNumberFormat="1" applyFont="1" applyFill="1" applyBorder="1"/>
    <xf numFmtId="166" fontId="28" fillId="0" borderId="11" xfId="2" applyNumberFormat="1" applyFont="1" applyFill="1" applyBorder="1"/>
    <xf numFmtId="0" fontId="5" fillId="0" borderId="0" xfId="0" applyFont="1" applyAlignment="1"/>
    <xf numFmtId="0" fontId="25" fillId="0" borderId="0" xfId="0" applyFont="1" applyFill="1" applyBorder="1"/>
    <xf numFmtId="165" fontId="25" fillId="0" borderId="0" xfId="6" applyNumberFormat="1" applyFont="1" applyFill="1" applyBorder="1"/>
    <xf numFmtId="0" fontId="13" fillId="0" borderId="1" xfId="0" applyFont="1" applyFill="1" applyBorder="1"/>
    <xf numFmtId="165" fontId="13" fillId="0" borderId="1" xfId="6" applyNumberFormat="1" applyFont="1" applyFill="1" applyBorder="1"/>
    <xf numFmtId="6" fontId="2" fillId="0" borderId="1" xfId="0" applyNumberFormat="1" applyFont="1" applyBorder="1" applyAlignment="1">
      <alignment horizontal="right" vertical="center"/>
    </xf>
    <xf numFmtId="8" fontId="2" fillId="0" borderId="1" xfId="0" applyNumberFormat="1" applyFont="1" applyBorder="1" applyAlignment="1">
      <alignment horizontal="right" vertical="center"/>
    </xf>
    <xf numFmtId="0" fontId="2" fillId="0" borderId="1" xfId="0" applyFont="1" applyBorder="1" applyAlignment="1">
      <alignment horizontal="right" vertical="center"/>
    </xf>
    <xf numFmtId="0" fontId="14" fillId="0" borderId="2" xfId="0" applyFont="1" applyBorder="1" applyAlignment="1">
      <alignment horizontal="center" vertical="center" wrapText="1"/>
    </xf>
    <xf numFmtId="0" fontId="25" fillId="0" borderId="0" xfId="0" applyFont="1" applyFill="1"/>
    <xf numFmtId="166" fontId="25" fillId="0" borderId="1" xfId="0" applyNumberFormat="1" applyFont="1" applyFill="1" applyBorder="1"/>
    <xf numFmtId="1" fontId="25" fillId="0" borderId="0" xfId="0" applyNumberFormat="1" applyFont="1" applyFill="1" applyBorder="1"/>
    <xf numFmtId="164" fontId="27" fillId="2" borderId="0" xfId="0" applyNumberFormat="1" applyFont="1" applyFill="1" applyBorder="1" applyAlignment="1" applyProtection="1">
      <alignment vertical="center" wrapText="1"/>
    </xf>
    <xf numFmtId="164" fontId="27" fillId="2" borderId="0" xfId="0" applyNumberFormat="1" applyFont="1" applyFill="1" applyBorder="1" applyAlignment="1" applyProtection="1">
      <alignment vertical="center"/>
    </xf>
    <xf numFmtId="0" fontId="21" fillId="0" borderId="0" xfId="0" applyFont="1" applyFill="1"/>
    <xf numFmtId="0" fontId="25" fillId="0" borderId="0" xfId="0" applyFont="1" applyFill="1" applyAlignment="1">
      <alignment wrapText="1"/>
    </xf>
    <xf numFmtId="0" fontId="25" fillId="0" borderId="0" xfId="0" applyFont="1" applyFill="1" applyBorder="1" applyAlignment="1">
      <alignment horizontal="center" vertical="center"/>
    </xf>
    <xf numFmtId="0" fontId="19" fillId="0" borderId="0" xfId="0" applyFont="1" applyFill="1" applyBorder="1" applyAlignment="1">
      <alignment horizontal="left" indent="5"/>
    </xf>
    <xf numFmtId="164" fontId="16" fillId="2" borderId="1" xfId="0" applyNumberFormat="1" applyFont="1" applyFill="1" applyBorder="1" applyAlignment="1">
      <alignment horizontal="center"/>
    </xf>
    <xf numFmtId="164" fontId="16" fillId="2" borderId="1" xfId="0" applyNumberFormat="1" applyFont="1" applyFill="1" applyBorder="1" applyAlignment="1">
      <alignment horizontal="center" wrapText="1"/>
    </xf>
    <xf numFmtId="164" fontId="16" fillId="0" borderId="1" xfId="0" applyNumberFormat="1" applyFont="1" applyFill="1" applyBorder="1" applyAlignment="1">
      <alignment horizontal="center" wrapText="1"/>
    </xf>
    <xf numFmtId="164" fontId="3" fillId="2" borderId="1" xfId="0" applyNumberFormat="1" applyFont="1" applyFill="1" applyBorder="1" applyAlignment="1">
      <alignment horizontal="center"/>
    </xf>
    <xf numFmtId="3" fontId="3" fillId="2" borderId="1" xfId="0" applyNumberFormat="1" applyFont="1" applyFill="1" applyBorder="1" applyAlignment="1">
      <alignment horizontal="center"/>
    </xf>
    <xf numFmtId="165" fontId="3" fillId="2" borderId="1" xfId="0" applyNumberFormat="1" applyFont="1" applyFill="1" applyBorder="1" applyAlignment="1">
      <alignment horizontal="center"/>
    </xf>
    <xf numFmtId="165" fontId="3" fillId="0" borderId="1" xfId="0" applyNumberFormat="1" applyFont="1" applyFill="1" applyBorder="1" applyAlignment="1">
      <alignment horizontal="center"/>
    </xf>
    <xf numFmtId="164" fontId="27" fillId="2" borderId="0" xfId="0" applyNumberFormat="1" applyFont="1" applyFill="1" applyBorder="1" applyAlignment="1" applyProtection="1"/>
    <xf numFmtId="3" fontId="3" fillId="2" borderId="3" xfId="0" applyNumberFormat="1" applyFont="1" applyFill="1" applyBorder="1" applyAlignment="1">
      <alignment horizontal="center"/>
    </xf>
    <xf numFmtId="165" fontId="3" fillId="2" borderId="3" xfId="0" applyNumberFormat="1" applyFont="1" applyFill="1" applyBorder="1" applyAlignment="1">
      <alignment horizontal="center"/>
    </xf>
    <xf numFmtId="3" fontId="3" fillId="2" borderId="8" xfId="0" applyNumberFormat="1" applyFont="1" applyFill="1" applyBorder="1" applyAlignment="1">
      <alignment horizontal="center"/>
    </xf>
    <xf numFmtId="165" fontId="3" fillId="2" borderId="8" xfId="0" applyNumberFormat="1" applyFont="1" applyFill="1" applyBorder="1" applyAlignment="1">
      <alignment horizontal="center"/>
    </xf>
    <xf numFmtId="164" fontId="16" fillId="2" borderId="8" xfId="0" applyNumberFormat="1" applyFont="1" applyFill="1" applyBorder="1" applyAlignment="1">
      <alignment horizontal="center"/>
    </xf>
    <xf numFmtId="164" fontId="16" fillId="2" borderId="8" xfId="0" applyNumberFormat="1" applyFont="1" applyFill="1" applyBorder="1" applyAlignment="1">
      <alignment horizontal="center" wrapText="1"/>
    </xf>
    <xf numFmtId="164" fontId="3" fillId="2" borderId="3" xfId="0" applyNumberFormat="1" applyFont="1" applyFill="1" applyBorder="1" applyAlignment="1">
      <alignment horizontal="center"/>
    </xf>
    <xf numFmtId="164" fontId="3" fillId="2" borderId="8" xfId="0" applyNumberFormat="1" applyFont="1" applyFill="1" applyBorder="1" applyAlignment="1">
      <alignment horizontal="center"/>
    </xf>
    <xf numFmtId="0" fontId="2" fillId="0" borderId="3" xfId="0" applyFont="1" applyBorder="1" applyAlignment="1">
      <alignment horizontal="center" vertical="center"/>
    </xf>
    <xf numFmtId="3" fontId="2" fillId="0" borderId="1" xfId="0" applyNumberFormat="1" applyFont="1" applyBorder="1" applyAlignment="1">
      <alignment horizontal="center" vertical="center"/>
    </xf>
    <xf numFmtId="0" fontId="14"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2" xfId="0" applyFont="1" applyBorder="1" applyAlignment="1">
      <alignment horizontal="center" vertical="center"/>
    </xf>
    <xf numFmtId="0" fontId="13" fillId="0" borderId="1" xfId="0" applyFont="1" applyBorder="1" applyAlignment="1">
      <alignment vertical="center" wrapText="1"/>
    </xf>
    <xf numFmtId="0" fontId="13" fillId="0" borderId="1" xfId="0" applyFont="1" applyBorder="1" applyAlignment="1">
      <alignment horizontal="center" vertical="center"/>
    </xf>
    <xf numFmtId="0" fontId="2" fillId="0" borderId="5" xfId="0" applyFont="1" applyBorder="1" applyAlignment="1">
      <alignment horizontal="center" vertical="center"/>
    </xf>
    <xf numFmtId="3" fontId="2" fillId="0" borderId="4" xfId="0" applyNumberFormat="1" applyFont="1" applyBorder="1" applyAlignment="1">
      <alignment horizontal="center" vertical="center"/>
    </xf>
    <xf numFmtId="0" fontId="13" fillId="0" borderId="1" xfId="0" applyFont="1" applyBorder="1" applyAlignment="1">
      <alignment vertical="center"/>
    </xf>
    <xf numFmtId="0" fontId="2" fillId="5" borderId="1" xfId="0" applyFont="1" applyFill="1" applyBorder="1" applyAlignment="1">
      <alignment horizontal="center" vertical="center"/>
    </xf>
    <xf numFmtId="0" fontId="13" fillId="0" borderId="1" xfId="0" applyFont="1" applyBorder="1" applyAlignment="1">
      <alignment horizontal="left" vertical="center" indent="1"/>
    </xf>
    <xf numFmtId="0" fontId="2" fillId="5" borderId="1" xfId="0" applyFont="1" applyFill="1" applyBorder="1" applyAlignment="1">
      <alignment vertical="center"/>
    </xf>
    <xf numFmtId="0" fontId="3" fillId="0" borderId="1" xfId="0" applyFont="1" applyBorder="1" applyAlignment="1">
      <alignment horizontal="left" vertical="center" wrapText="1" indent="4"/>
    </xf>
    <xf numFmtId="0" fontId="3" fillId="0" borderId="1" xfId="0" applyFont="1" applyBorder="1" applyAlignment="1">
      <alignment horizontal="center" vertical="center"/>
    </xf>
    <xf numFmtId="0" fontId="3" fillId="0" borderId="5" xfId="0" applyFont="1" applyBorder="1" applyAlignment="1">
      <alignment horizontal="center" vertical="center"/>
    </xf>
    <xf numFmtId="3" fontId="3" fillId="0" borderId="4" xfId="0" applyNumberFormat="1" applyFont="1" applyBorder="1" applyAlignment="1">
      <alignment horizontal="center" vertical="center"/>
    </xf>
    <xf numFmtId="3" fontId="3" fillId="0" borderId="1" xfId="0" applyNumberFormat="1" applyFont="1" applyBorder="1" applyAlignment="1">
      <alignment horizontal="center" vertical="center"/>
    </xf>
    <xf numFmtId="0" fontId="13" fillId="0" borderId="1" xfId="0" applyFont="1" applyBorder="1" applyAlignment="1">
      <alignment horizontal="left" vertical="center" wrapText="1" indent="4"/>
    </xf>
    <xf numFmtId="0" fontId="13" fillId="0" borderId="2" xfId="0" applyFont="1" applyBorder="1" applyAlignment="1">
      <alignment horizontal="left" vertical="center" indent="4"/>
    </xf>
    <xf numFmtId="0" fontId="13" fillId="0" borderId="2" xfId="0" applyFont="1" applyBorder="1" applyAlignment="1">
      <alignment horizontal="center" vertical="center"/>
    </xf>
    <xf numFmtId="167" fontId="2" fillId="0" borderId="1" xfId="0" applyNumberFormat="1" applyFont="1" applyBorder="1" applyAlignment="1">
      <alignment horizontal="center" vertical="center"/>
    </xf>
    <xf numFmtId="0" fontId="13" fillId="0" borderId="1" xfId="0" applyFont="1" applyBorder="1" applyAlignment="1">
      <alignment horizontal="left" vertical="center" indent="4"/>
    </xf>
    <xf numFmtId="168" fontId="13" fillId="0" borderId="1" xfId="0" applyNumberFormat="1" applyFont="1" applyBorder="1" applyAlignment="1">
      <alignment horizontal="center" vertical="center"/>
    </xf>
    <xf numFmtId="0" fontId="13" fillId="0" borderId="2" xfId="0" applyFont="1" applyBorder="1" applyAlignment="1">
      <alignment horizontal="left" vertical="center" wrapText="1" indent="4"/>
    </xf>
    <xf numFmtId="0" fontId="17" fillId="0" borderId="1" xfId="0" applyFont="1" applyBorder="1" applyAlignment="1">
      <alignment vertical="center"/>
    </xf>
    <xf numFmtId="6" fontId="18" fillId="0" borderId="1" xfId="0" applyNumberFormat="1" applyFont="1" applyBorder="1" applyAlignment="1">
      <alignment horizontal="right" vertical="center"/>
    </xf>
    <xf numFmtId="4" fontId="2" fillId="0" borderId="1" xfId="0" applyNumberFormat="1" applyFont="1" applyBorder="1" applyAlignment="1">
      <alignment horizontal="center" vertical="center"/>
    </xf>
    <xf numFmtId="0" fontId="13" fillId="0" borderId="1" xfId="0" applyFont="1" applyBorder="1" applyAlignment="1">
      <alignment horizontal="left" vertical="center" wrapText="1" indent="2"/>
    </xf>
    <xf numFmtId="0" fontId="13" fillId="0" borderId="2" xfId="0" applyFont="1" applyBorder="1" applyAlignment="1">
      <alignment horizontal="left" vertical="center" indent="1"/>
    </xf>
    <xf numFmtId="0" fontId="13" fillId="0" borderId="1" xfId="0" applyFont="1" applyBorder="1" applyAlignment="1">
      <alignment horizontal="left" vertical="center" wrapText="1" indent="1"/>
    </xf>
    <xf numFmtId="0" fontId="18" fillId="0" borderId="1" xfId="0" applyFont="1" applyBorder="1" applyAlignment="1">
      <alignment vertical="center" wrapText="1"/>
    </xf>
    <xf numFmtId="0" fontId="14" fillId="0" borderId="1" xfId="0" applyFont="1" applyBorder="1" applyAlignment="1">
      <alignment vertical="center" wrapText="1"/>
    </xf>
    <xf numFmtId="0" fontId="14" fillId="0" borderId="2" xfId="0" applyFont="1" applyBorder="1" applyAlignment="1">
      <alignment horizontal="center" vertical="center"/>
    </xf>
    <xf numFmtId="6" fontId="14" fillId="0" borderId="2" xfId="0" applyNumberFormat="1" applyFont="1" applyBorder="1" applyAlignment="1">
      <alignment horizontal="right" vertical="center"/>
    </xf>
    <xf numFmtId="0" fontId="13" fillId="0" borderId="1" xfId="0" applyFont="1" applyBorder="1"/>
    <xf numFmtId="6" fontId="14" fillId="0" borderId="1" xfId="0" applyNumberFormat="1" applyFont="1" applyBorder="1" applyAlignment="1">
      <alignment horizontal="right" vertical="center"/>
    </xf>
    <xf numFmtId="0" fontId="13" fillId="0" borderId="0" xfId="0" applyFont="1" applyAlignment="1">
      <alignment vertical="center"/>
    </xf>
    <xf numFmtId="0" fontId="13" fillId="0" borderId="0" xfId="0" applyFont="1"/>
    <xf numFmtId="4" fontId="2" fillId="0" borderId="0" xfId="0" applyNumberFormat="1" applyFont="1" applyAlignment="1">
      <alignment horizontal="center" vertical="center"/>
    </xf>
    <xf numFmtId="8" fontId="2" fillId="0" borderId="0" xfId="0" applyNumberFormat="1" applyFont="1" applyAlignment="1">
      <alignment horizontal="right" vertical="center"/>
    </xf>
    <xf numFmtId="0" fontId="14" fillId="0" borderId="0" xfId="0" applyFont="1"/>
    <xf numFmtId="0" fontId="2" fillId="0" borderId="0" xfId="0" applyFont="1" applyAlignment="1">
      <alignment horizontal="center" vertical="center"/>
    </xf>
    <xf numFmtId="3" fontId="2" fillId="0" borderId="0" xfId="0" applyNumberFormat="1" applyFont="1" applyAlignment="1">
      <alignment horizontal="center" vertical="center"/>
    </xf>
    <xf numFmtId="0" fontId="2" fillId="0" borderId="4" xfId="0" applyFont="1" applyBorder="1" applyAlignment="1">
      <alignment horizontal="center" vertical="center"/>
    </xf>
    <xf numFmtId="1" fontId="2" fillId="0" borderId="4" xfId="0" applyNumberFormat="1" applyFont="1" applyBorder="1" applyAlignment="1">
      <alignment horizontal="center" vertical="center"/>
    </xf>
    <xf numFmtId="168" fontId="2" fillId="0" borderId="1" xfId="0" applyNumberFormat="1" applyFont="1" applyBorder="1" applyAlignment="1">
      <alignment horizontal="center" vertical="center"/>
    </xf>
    <xf numFmtId="0" fontId="3" fillId="0" borderId="1" xfId="0" applyFont="1" applyBorder="1" applyAlignment="1">
      <alignment vertical="center"/>
    </xf>
    <xf numFmtId="166" fontId="2" fillId="0" borderId="1" xfId="0" applyNumberFormat="1" applyFont="1" applyBorder="1"/>
    <xf numFmtId="1" fontId="2" fillId="0" borderId="1" xfId="0" applyNumberFormat="1" applyFont="1" applyBorder="1" applyAlignment="1">
      <alignment horizontal="center" vertical="center"/>
    </xf>
    <xf numFmtId="0" fontId="13" fillId="0" borderId="1" xfId="0" applyFont="1" applyBorder="1" applyAlignment="1">
      <alignment horizontal="left" vertical="center" indent="2"/>
    </xf>
    <xf numFmtId="0" fontId="3" fillId="0" borderId="1" xfId="0" applyFont="1" applyBorder="1" applyAlignment="1">
      <alignment horizontal="left" vertical="center" indent="2"/>
    </xf>
    <xf numFmtId="0" fontId="16" fillId="0" borderId="1" xfId="0" applyFont="1" applyBorder="1" applyAlignment="1">
      <alignment vertical="center" wrapText="1"/>
    </xf>
    <xf numFmtId="6" fontId="4" fillId="0" borderId="1" xfId="0" applyNumberFormat="1" applyFont="1" applyBorder="1"/>
    <xf numFmtId="1" fontId="13" fillId="0" borderId="1" xfId="0" applyNumberFormat="1" applyFont="1" applyBorder="1" applyAlignment="1">
      <alignment horizontal="center" vertical="center"/>
    </xf>
    <xf numFmtId="0" fontId="8" fillId="0" borderId="0" xfId="0" applyFont="1" applyAlignment="1">
      <alignment horizontal="center" vertical="center" wrapText="1"/>
    </xf>
    <xf numFmtId="0" fontId="5" fillId="0" borderId="0" xfId="0" applyFont="1" applyAlignment="1">
      <alignment wrapText="1"/>
    </xf>
    <xf numFmtId="0" fontId="8" fillId="0" borderId="0" xfId="0" applyFont="1" applyAlignment="1">
      <alignment horizontal="center" vertical="center"/>
    </xf>
    <xf numFmtId="0" fontId="11" fillId="0" borderId="10" xfId="4" applyFill="1" applyBorder="1" applyAlignment="1" applyProtection="1">
      <alignment wrapText="1"/>
    </xf>
    <xf numFmtId="0" fontId="5" fillId="0" borderId="0" xfId="0" applyFont="1" applyFill="1" applyBorder="1" applyAlignment="1">
      <alignment wrapText="1"/>
    </xf>
    <xf numFmtId="0" fontId="5" fillId="0" borderId="11" xfId="0" applyFont="1" applyFill="1" applyBorder="1" applyAlignment="1">
      <alignment wrapText="1"/>
    </xf>
    <xf numFmtId="0" fontId="28" fillId="0" borderId="12" xfId="1" applyFont="1" applyBorder="1" applyAlignment="1" applyProtection="1">
      <alignment vertical="top" wrapText="1"/>
    </xf>
    <xf numFmtId="0" fontId="5" fillId="0" borderId="7" xfId="0" applyFont="1" applyBorder="1" applyAlignment="1">
      <alignment vertical="top" wrapText="1"/>
    </xf>
    <xf numFmtId="0" fontId="5" fillId="0" borderId="9" xfId="0" applyFont="1" applyBorder="1" applyAlignment="1">
      <alignment vertical="top" wrapText="1"/>
    </xf>
    <xf numFmtId="0" fontId="27" fillId="0" borderId="1" xfId="5" applyFont="1" applyFill="1" applyBorder="1" applyAlignment="1">
      <alignment horizontal="center"/>
    </xf>
    <xf numFmtId="0" fontId="5" fillId="0" borderId="1" xfId="0" applyFont="1" applyBorder="1" applyAlignment="1">
      <alignment horizontal="center"/>
    </xf>
    <xf numFmtId="0" fontId="28" fillId="0" borderId="10" xfId="1" applyFont="1" applyBorder="1" applyAlignment="1" applyProtection="1">
      <alignment horizontal="left" vertical="top" wrapText="1"/>
    </xf>
    <xf numFmtId="0" fontId="5" fillId="0" borderId="0" xfId="0" applyFont="1" applyBorder="1" applyAlignment="1">
      <alignment horizontal="left" vertical="top" wrapText="1"/>
    </xf>
    <xf numFmtId="0" fontId="5" fillId="0" borderId="11" xfId="0" applyFont="1" applyBorder="1" applyAlignment="1">
      <alignment horizontal="left" vertical="top" wrapText="1"/>
    </xf>
    <xf numFmtId="0" fontId="11" fillId="0" borderId="10" xfId="4" applyBorder="1" applyAlignment="1" applyProtection="1">
      <alignment wrapText="1"/>
    </xf>
    <xf numFmtId="0" fontId="5" fillId="0" borderId="0" xfId="0" applyFont="1" applyBorder="1" applyAlignment="1">
      <alignment wrapText="1"/>
    </xf>
    <xf numFmtId="0" fontId="5" fillId="0" borderId="11" xfId="0" applyFont="1" applyBorder="1" applyAlignment="1">
      <alignment wrapText="1"/>
    </xf>
    <xf numFmtId="0" fontId="5" fillId="0" borderId="12" xfId="0" applyFont="1" applyFill="1" applyBorder="1" applyAlignment="1">
      <alignment horizontal="left" vertical="top" wrapText="1"/>
    </xf>
    <xf numFmtId="0" fontId="5" fillId="0" borderId="7" xfId="0" applyFont="1" applyBorder="1" applyAlignment="1">
      <alignment horizontal="left" vertical="top" wrapText="1"/>
    </xf>
    <xf numFmtId="0" fontId="5" fillId="0" borderId="9" xfId="0" applyFont="1" applyBorder="1" applyAlignment="1">
      <alignment horizontal="left" vertical="top" wrapText="1"/>
    </xf>
    <xf numFmtId="0" fontId="27" fillId="0" borderId="1" xfId="3" applyFont="1" applyFill="1" applyBorder="1" applyAlignment="1">
      <alignment horizontal="center"/>
    </xf>
    <xf numFmtId="0" fontId="28" fillId="0" borderId="10" xfId="3" applyFont="1" applyFill="1" applyBorder="1" applyAlignment="1">
      <alignment horizontal="left" vertical="top" wrapText="1"/>
    </xf>
    <xf numFmtId="0" fontId="28" fillId="0" borderId="0" xfId="3" applyFont="1" applyFill="1" applyBorder="1" applyAlignment="1">
      <alignment horizontal="left" vertical="top" wrapText="1"/>
    </xf>
    <xf numFmtId="0" fontId="28" fillId="0" borderId="11" xfId="3" applyFont="1" applyFill="1" applyBorder="1" applyAlignment="1">
      <alignment horizontal="left" vertical="top" wrapText="1"/>
    </xf>
    <xf numFmtId="0" fontId="13" fillId="0" borderId="0" xfId="0" applyFont="1" applyAlignment="1">
      <alignment horizontal="left" vertical="top" wrapText="1"/>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3" fontId="4" fillId="0" borderId="1" xfId="0" applyNumberFormat="1" applyFont="1" applyBorder="1" applyAlignment="1">
      <alignment horizontal="center"/>
    </xf>
    <xf numFmtId="0" fontId="3" fillId="0" borderId="0" xfId="0" applyFont="1" applyAlignment="1">
      <alignment horizontal="left" vertical="top" wrapText="1"/>
    </xf>
    <xf numFmtId="0" fontId="21" fillId="0" borderId="0" xfId="0" applyFont="1" applyAlignment="1">
      <alignment horizontal="left" vertical="top" wrapText="1"/>
    </xf>
    <xf numFmtId="0" fontId="16" fillId="0" borderId="6" xfId="0" applyFont="1" applyBorder="1" applyAlignment="1">
      <alignment horizontal="center"/>
    </xf>
    <xf numFmtId="0" fontId="16" fillId="0" borderId="4" xfId="0" applyFont="1" applyBorder="1" applyAlignment="1">
      <alignment horizontal="center"/>
    </xf>
    <xf numFmtId="3" fontId="18" fillId="0" borderId="1" xfId="0" applyNumberFormat="1" applyFont="1" applyBorder="1" applyAlignment="1">
      <alignment horizontal="center" vertical="center"/>
    </xf>
    <xf numFmtId="3" fontId="18" fillId="0" borderId="4" xfId="0" applyNumberFormat="1" applyFont="1" applyBorder="1" applyAlignment="1">
      <alignment horizontal="center" vertical="center"/>
    </xf>
    <xf numFmtId="3" fontId="14" fillId="0" borderId="2" xfId="0" applyNumberFormat="1" applyFont="1" applyBorder="1" applyAlignment="1">
      <alignment horizontal="center" vertical="center"/>
    </xf>
    <xf numFmtId="0" fontId="3" fillId="0" borderId="6" xfId="0" applyFont="1" applyBorder="1" applyAlignment="1">
      <alignment horizontal="center"/>
    </xf>
    <xf numFmtId="0" fontId="3" fillId="0" borderId="4" xfId="0" applyFont="1" applyBorder="1" applyAlignment="1">
      <alignment horizontal="center"/>
    </xf>
  </cellXfs>
  <cellStyles count="7">
    <cellStyle name="Currency" xfId="6" builtinId="4"/>
    <cellStyle name="Hyperlink" xfId="4" builtinId="8"/>
    <cellStyle name="Hyperlink 2" xfId="1" xr:uid="{00000000-0005-0000-0000-000002000000}"/>
    <cellStyle name="Normal" xfId="0" builtinId="0"/>
    <cellStyle name="Normal 2" xfId="5" xr:uid="{00000000-0005-0000-0000-000004000000}"/>
    <cellStyle name="Normal_HMIWI EG SS" xfId="2" xr:uid="{00000000-0005-0000-0000-000005000000}"/>
    <cellStyle name="Normal_ICR Cost Inputs"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pm.gov/policy-data-oversight/pay-leave/salaries-wages/salary-tables/21Tables/html/GS_h.aspx" TargetMode="External"/><Relationship Id="rId1" Type="http://schemas.openxmlformats.org/officeDocument/2006/relationships/hyperlink" Target="https://www.bls.gov/oes/current/naics3_327000.ht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6"/>
  <sheetViews>
    <sheetView workbookViewId="0">
      <selection activeCell="A3" sqref="A3:Q3"/>
    </sheetView>
  </sheetViews>
  <sheetFormatPr defaultColWidth="9.1796875" defaultRowHeight="15.5" x14ac:dyDescent="0.35"/>
  <cols>
    <col min="1" max="16384" width="9.1796875" style="30"/>
  </cols>
  <sheetData>
    <row r="1" spans="1:17" ht="15.75" customHeight="1" x14ac:dyDescent="0.35">
      <c r="A1" s="143" t="s">
        <v>5</v>
      </c>
      <c r="B1" s="143"/>
      <c r="C1" s="143"/>
      <c r="D1" s="143"/>
      <c r="E1" s="143"/>
      <c r="F1" s="143"/>
      <c r="G1" s="143"/>
      <c r="H1" s="143"/>
      <c r="I1" s="143"/>
      <c r="J1" s="143"/>
      <c r="K1" s="143"/>
      <c r="L1" s="143"/>
      <c r="M1" s="143"/>
      <c r="N1" s="143"/>
      <c r="O1" s="143"/>
      <c r="P1" s="143"/>
      <c r="Q1" s="143"/>
    </row>
    <row r="2" spans="1:17" x14ac:dyDescent="0.35">
      <c r="A2" s="141" t="s">
        <v>6</v>
      </c>
      <c r="B2" s="142"/>
      <c r="C2" s="142"/>
      <c r="D2" s="142"/>
      <c r="E2" s="142"/>
      <c r="F2" s="142"/>
      <c r="G2" s="142"/>
      <c r="H2" s="142"/>
      <c r="I2" s="142"/>
      <c r="J2" s="142"/>
      <c r="K2" s="142"/>
      <c r="L2" s="142"/>
      <c r="M2" s="142"/>
      <c r="N2" s="142"/>
      <c r="O2" s="142"/>
      <c r="P2" s="142"/>
      <c r="Q2" s="142"/>
    </row>
    <row r="3" spans="1:17" x14ac:dyDescent="0.35">
      <c r="A3" s="141" t="s">
        <v>37</v>
      </c>
      <c r="B3" s="142"/>
      <c r="C3" s="142"/>
      <c r="D3" s="142"/>
      <c r="E3" s="142"/>
      <c r="F3" s="142"/>
      <c r="G3" s="142"/>
      <c r="H3" s="142"/>
      <c r="I3" s="142"/>
      <c r="J3" s="142"/>
      <c r="K3" s="142"/>
      <c r="L3" s="142"/>
      <c r="M3" s="142"/>
      <c r="N3" s="142"/>
      <c r="O3" s="142"/>
      <c r="P3" s="142"/>
      <c r="Q3" s="142"/>
    </row>
    <row r="4" spans="1:17" x14ac:dyDescent="0.35">
      <c r="A4" s="4"/>
    </row>
    <row r="5" spans="1:17" x14ac:dyDescent="0.35">
      <c r="A5" s="5" t="s">
        <v>31</v>
      </c>
    </row>
    <row r="6" spans="1:17" x14ac:dyDescent="0.35">
      <c r="A6" s="4" t="s">
        <v>38</v>
      </c>
    </row>
    <row r="7" spans="1:17" x14ac:dyDescent="0.35">
      <c r="A7" s="1"/>
    </row>
    <row r="8" spans="1:17" x14ac:dyDescent="0.35">
      <c r="A8" s="31" t="s">
        <v>32</v>
      </c>
    </row>
    <row r="9" spans="1:17" x14ac:dyDescent="0.35">
      <c r="A9" s="4" t="s">
        <v>39</v>
      </c>
    </row>
    <row r="11" spans="1:17" x14ac:dyDescent="0.35">
      <c r="A11" s="3" t="s">
        <v>33</v>
      </c>
      <c r="B11" s="3"/>
    </row>
    <row r="12" spans="1:17" x14ac:dyDescent="0.35">
      <c r="A12" s="2" t="s">
        <v>40</v>
      </c>
    </row>
    <row r="14" spans="1:17" x14ac:dyDescent="0.35">
      <c r="A14" s="31" t="s">
        <v>34</v>
      </c>
    </row>
    <row r="15" spans="1:17" x14ac:dyDescent="0.35">
      <c r="A15" s="2" t="s">
        <v>41</v>
      </c>
    </row>
    <row r="16" spans="1:17" x14ac:dyDescent="0.35">
      <c r="A16" s="1"/>
    </row>
  </sheetData>
  <mergeCells count="3">
    <mergeCell ref="A2:Q2"/>
    <mergeCell ref="A3:Q3"/>
    <mergeCell ref="A1:Q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28"/>
  <sheetViews>
    <sheetView zoomScaleNormal="100" workbookViewId="0"/>
  </sheetViews>
  <sheetFormatPr defaultColWidth="9.1796875" defaultRowHeight="14" x14ac:dyDescent="0.3"/>
  <cols>
    <col min="1" max="1" width="68.81640625" style="60" bestFit="1" customWidth="1"/>
    <col min="2" max="2" width="10.26953125" style="60" customWidth="1"/>
    <col min="3" max="3" width="11.26953125" style="60" customWidth="1"/>
    <col min="4" max="4" width="10.26953125" style="60" customWidth="1"/>
    <col min="5" max="5" width="11.81640625" style="60" customWidth="1"/>
    <col min="6" max="8" width="10.26953125" style="60" customWidth="1"/>
    <col min="9" max="10" width="13" style="60" customWidth="1"/>
    <col min="11" max="11" width="13.7265625" style="60" bestFit="1" customWidth="1"/>
    <col min="12" max="16384" width="9.1796875" style="60"/>
  </cols>
  <sheetData>
    <row r="1" spans="1:12" ht="15" x14ac:dyDescent="0.3">
      <c r="A1" s="3" t="s">
        <v>184</v>
      </c>
      <c r="B1" s="29"/>
      <c r="C1" s="29"/>
      <c r="D1" s="29"/>
      <c r="E1" s="29"/>
      <c r="F1" s="29"/>
      <c r="G1" s="29"/>
      <c r="H1" s="29"/>
      <c r="I1" s="29"/>
    </row>
    <row r="2" spans="1:12" ht="15.5" x14ac:dyDescent="0.3">
      <c r="A2" s="2"/>
      <c r="B2" s="29"/>
      <c r="C2" s="29"/>
      <c r="D2" s="29"/>
      <c r="E2" s="29"/>
      <c r="F2" s="29"/>
      <c r="G2" s="29"/>
      <c r="H2" s="29"/>
      <c r="I2" s="29"/>
    </row>
    <row r="3" spans="1:12" ht="78" x14ac:dyDescent="0.3">
      <c r="A3" s="119" t="s">
        <v>4</v>
      </c>
      <c r="B3" s="59" t="s">
        <v>120</v>
      </c>
      <c r="C3" s="59" t="s">
        <v>121</v>
      </c>
      <c r="D3" s="87" t="s">
        <v>122</v>
      </c>
      <c r="E3" s="87" t="s">
        <v>123</v>
      </c>
      <c r="F3" s="87" t="s">
        <v>52</v>
      </c>
      <c r="G3" s="87" t="s">
        <v>53</v>
      </c>
      <c r="H3" s="87" t="s">
        <v>124</v>
      </c>
      <c r="I3" s="87" t="s">
        <v>55</v>
      </c>
      <c r="J3" s="124"/>
      <c r="K3" s="124"/>
      <c r="L3" s="124"/>
    </row>
    <row r="4" spans="1:12" ht="15.5" x14ac:dyDescent="0.3">
      <c r="A4" s="95" t="s">
        <v>125</v>
      </c>
      <c r="B4" s="92" t="s">
        <v>3</v>
      </c>
      <c r="C4" s="92"/>
      <c r="D4" s="93"/>
      <c r="E4" s="92"/>
      <c r="F4" s="130"/>
      <c r="G4" s="16"/>
      <c r="H4" s="16"/>
      <c r="I4" s="57"/>
      <c r="J4" s="124"/>
      <c r="K4" s="176" t="s">
        <v>126</v>
      </c>
      <c r="L4" s="177"/>
    </row>
    <row r="5" spans="1:12" ht="15.5" x14ac:dyDescent="0.3">
      <c r="A5" s="91" t="s">
        <v>127</v>
      </c>
      <c r="B5" s="92" t="s">
        <v>3</v>
      </c>
      <c r="C5" s="92"/>
      <c r="D5" s="93"/>
      <c r="E5" s="92"/>
      <c r="F5" s="131"/>
      <c r="G5" s="16"/>
      <c r="H5" s="132"/>
      <c r="I5" s="57"/>
      <c r="J5" s="124"/>
      <c r="K5" s="133" t="s">
        <v>128</v>
      </c>
      <c r="L5" s="134">
        <f>Inputs!D16</f>
        <v>69.040000000000006</v>
      </c>
    </row>
    <row r="6" spans="1:12" ht="15.5" x14ac:dyDescent="0.3">
      <c r="A6" s="95" t="s">
        <v>129</v>
      </c>
      <c r="B6" s="92" t="s">
        <v>3</v>
      </c>
      <c r="C6" s="92"/>
      <c r="D6" s="93"/>
      <c r="E6" s="9"/>
      <c r="F6" s="130"/>
      <c r="G6" s="135"/>
      <c r="H6" s="135"/>
      <c r="I6" s="57"/>
      <c r="J6" s="124"/>
      <c r="K6" s="133" t="s">
        <v>15</v>
      </c>
      <c r="L6" s="134">
        <f>Inputs!D15</f>
        <v>51.239999999999995</v>
      </c>
    </row>
    <row r="7" spans="1:12" x14ac:dyDescent="0.3">
      <c r="A7" s="95" t="s">
        <v>130</v>
      </c>
      <c r="B7" s="98"/>
      <c r="C7" s="98"/>
      <c r="D7" s="93"/>
      <c r="E7" s="98"/>
      <c r="F7" s="130"/>
      <c r="G7" s="16"/>
      <c r="H7" s="16"/>
      <c r="I7" s="57"/>
      <c r="J7" s="124"/>
      <c r="K7" s="133" t="s">
        <v>14</v>
      </c>
      <c r="L7" s="134">
        <f>Inputs!D17</f>
        <v>27.73</v>
      </c>
    </row>
    <row r="8" spans="1:12" x14ac:dyDescent="0.3">
      <c r="A8" s="136" t="s">
        <v>131</v>
      </c>
      <c r="B8" s="92" t="s">
        <v>3</v>
      </c>
      <c r="C8" s="92"/>
      <c r="D8" s="93"/>
      <c r="E8" s="92"/>
      <c r="F8" s="130"/>
      <c r="G8" s="16"/>
      <c r="H8" s="16"/>
      <c r="I8" s="57"/>
      <c r="J8" s="124"/>
      <c r="K8" s="124"/>
      <c r="L8" s="124"/>
    </row>
    <row r="9" spans="1:12" x14ac:dyDescent="0.3">
      <c r="A9" s="136" t="s">
        <v>132</v>
      </c>
      <c r="B9" s="92" t="s">
        <v>3</v>
      </c>
      <c r="C9" s="92"/>
      <c r="D9" s="93"/>
      <c r="E9" s="92"/>
      <c r="F9" s="130"/>
      <c r="G9" s="16"/>
      <c r="H9" s="16"/>
      <c r="I9" s="57"/>
      <c r="J9" s="124"/>
      <c r="K9" s="124"/>
      <c r="L9" s="124"/>
    </row>
    <row r="10" spans="1:12" x14ac:dyDescent="0.3">
      <c r="A10" s="136" t="s">
        <v>133</v>
      </c>
      <c r="B10" s="92" t="s">
        <v>3</v>
      </c>
      <c r="C10" s="92"/>
      <c r="D10" s="93"/>
      <c r="E10" s="92"/>
      <c r="F10" s="130"/>
      <c r="G10" s="16"/>
      <c r="H10" s="16"/>
      <c r="I10" s="57"/>
      <c r="J10" s="124"/>
      <c r="K10" s="124"/>
      <c r="L10" s="124"/>
    </row>
    <row r="11" spans="1:12" x14ac:dyDescent="0.3">
      <c r="A11" s="136" t="s">
        <v>134</v>
      </c>
      <c r="B11" s="92" t="s">
        <v>3</v>
      </c>
      <c r="C11" s="92"/>
      <c r="D11" s="93"/>
      <c r="E11" s="92"/>
      <c r="F11" s="130"/>
      <c r="G11" s="16"/>
      <c r="H11" s="16"/>
      <c r="I11" s="57"/>
      <c r="J11" s="124"/>
      <c r="K11" s="124"/>
      <c r="L11" s="124"/>
    </row>
    <row r="12" spans="1:12" x14ac:dyDescent="0.3">
      <c r="A12" s="114" t="s">
        <v>73</v>
      </c>
      <c r="B12" s="92" t="s">
        <v>3</v>
      </c>
      <c r="C12" s="92"/>
      <c r="D12" s="93"/>
      <c r="E12" s="92"/>
      <c r="F12" s="130"/>
      <c r="G12" s="16"/>
      <c r="H12" s="16"/>
      <c r="I12" s="57"/>
      <c r="J12" s="124"/>
      <c r="K12" s="124"/>
      <c r="L12" s="124"/>
    </row>
    <row r="13" spans="1:12" x14ac:dyDescent="0.3">
      <c r="A13" s="136" t="s">
        <v>135</v>
      </c>
      <c r="B13" s="92" t="s">
        <v>3</v>
      </c>
      <c r="C13" s="92"/>
      <c r="D13" s="93"/>
      <c r="E13" s="92"/>
      <c r="F13" s="130"/>
      <c r="G13" s="16"/>
      <c r="H13" s="16"/>
      <c r="I13" s="57"/>
      <c r="J13" s="124"/>
      <c r="K13" s="124"/>
      <c r="L13" s="124"/>
    </row>
    <row r="14" spans="1:12" x14ac:dyDescent="0.3">
      <c r="A14" s="114" t="s">
        <v>136</v>
      </c>
      <c r="B14" s="92">
        <v>4</v>
      </c>
      <c r="C14" s="92">
        <v>1</v>
      </c>
      <c r="D14" s="93">
        <f t="shared" ref="D14:D18" si="0">B14*C14</f>
        <v>4</v>
      </c>
      <c r="E14" s="92">
        <v>35</v>
      </c>
      <c r="F14" s="130">
        <f t="shared" ref="F14:F18" si="1">E14*D14</f>
        <v>140</v>
      </c>
      <c r="G14" s="16">
        <f t="shared" ref="G14:G18" si="2">F14*0.05</f>
        <v>7</v>
      </c>
      <c r="H14" s="16">
        <f t="shared" ref="H14:H18" si="3">F14*0.1</f>
        <v>14</v>
      </c>
      <c r="I14" s="57">
        <f t="shared" ref="I14:I18" si="4">$L$6*F14+$L$5*G14+$L$7*H14</f>
        <v>8045.0999999999995</v>
      </c>
      <c r="J14" s="124"/>
      <c r="K14" s="124"/>
      <c r="L14" s="124"/>
    </row>
    <row r="15" spans="1:12" ht="15.5" x14ac:dyDescent="0.3">
      <c r="A15" s="137" t="s">
        <v>137</v>
      </c>
      <c r="B15" s="92" t="s">
        <v>3</v>
      </c>
      <c r="C15" s="92"/>
      <c r="D15" s="93"/>
      <c r="E15" s="109"/>
      <c r="F15" s="131"/>
      <c r="G15" s="132"/>
      <c r="H15" s="132"/>
      <c r="I15" s="57"/>
      <c r="J15" s="124"/>
      <c r="K15" s="124"/>
      <c r="L15" s="124"/>
    </row>
    <row r="16" spans="1:12" x14ac:dyDescent="0.3">
      <c r="A16" s="136" t="s">
        <v>138</v>
      </c>
      <c r="B16" s="92">
        <v>4</v>
      </c>
      <c r="C16" s="92">
        <v>2</v>
      </c>
      <c r="D16" s="93">
        <f t="shared" si="0"/>
        <v>8</v>
      </c>
      <c r="E16" s="92">
        <v>35</v>
      </c>
      <c r="F16" s="130">
        <f t="shared" si="1"/>
        <v>280</v>
      </c>
      <c r="G16" s="135">
        <f t="shared" si="2"/>
        <v>14</v>
      </c>
      <c r="H16" s="135">
        <f t="shared" si="3"/>
        <v>28</v>
      </c>
      <c r="I16" s="57">
        <f t="shared" si="4"/>
        <v>16090.199999999999</v>
      </c>
      <c r="J16" s="124"/>
      <c r="K16" s="124"/>
      <c r="L16" s="124"/>
    </row>
    <row r="17" spans="1:12" x14ac:dyDescent="0.3">
      <c r="A17" s="136" t="s">
        <v>139</v>
      </c>
      <c r="B17" s="92" t="s">
        <v>3</v>
      </c>
      <c r="C17" s="92"/>
      <c r="D17" s="93"/>
      <c r="E17" s="92"/>
      <c r="F17" s="130"/>
      <c r="G17" s="16"/>
      <c r="H17" s="16"/>
      <c r="I17" s="57"/>
      <c r="J17" s="124"/>
      <c r="K17" s="124"/>
      <c r="L17" s="124"/>
    </row>
    <row r="18" spans="1:12" ht="15.5" x14ac:dyDescent="0.3">
      <c r="A18" s="114" t="s">
        <v>140</v>
      </c>
      <c r="B18" s="92">
        <v>4</v>
      </c>
      <c r="C18" s="92">
        <v>1</v>
      </c>
      <c r="D18" s="93">
        <f t="shared" si="0"/>
        <v>4</v>
      </c>
      <c r="E18" s="109">
        <v>35</v>
      </c>
      <c r="F18" s="130">
        <f t="shared" si="1"/>
        <v>140</v>
      </c>
      <c r="G18" s="16">
        <f t="shared" si="2"/>
        <v>7</v>
      </c>
      <c r="H18" s="16">
        <f t="shared" si="3"/>
        <v>14</v>
      </c>
      <c r="I18" s="57">
        <f t="shared" si="4"/>
        <v>8045.0999999999995</v>
      </c>
      <c r="J18" s="124"/>
      <c r="K18" s="124"/>
      <c r="L18" s="124"/>
    </row>
    <row r="19" spans="1:12" ht="15" x14ac:dyDescent="0.3">
      <c r="A19" s="138" t="s">
        <v>141</v>
      </c>
      <c r="B19" s="121"/>
      <c r="C19" s="121"/>
      <c r="D19" s="16"/>
      <c r="E19" s="121"/>
      <c r="F19" s="168">
        <f>ROUND(SUM(F4:H18), -1)</f>
        <v>640</v>
      </c>
      <c r="G19" s="168"/>
      <c r="H19" s="168"/>
      <c r="I19" s="139">
        <f>ROUND(SUM(I4:I18),-2)</f>
        <v>32200</v>
      </c>
      <c r="J19" s="124"/>
      <c r="K19" s="124"/>
      <c r="L19" s="124"/>
    </row>
    <row r="20" spans="1:12" x14ac:dyDescent="0.3">
      <c r="A20" s="124"/>
      <c r="B20" s="124"/>
      <c r="C20" s="124"/>
      <c r="D20" s="124"/>
      <c r="E20" s="124"/>
      <c r="F20" s="124"/>
      <c r="G20" s="124"/>
      <c r="H20" s="124"/>
      <c r="I20" s="124"/>
      <c r="J20" s="124"/>
      <c r="K20" s="124"/>
      <c r="L20" s="124"/>
    </row>
    <row r="21" spans="1:12" x14ac:dyDescent="0.3">
      <c r="A21" s="14" t="s">
        <v>2</v>
      </c>
      <c r="B21" s="124"/>
      <c r="C21" s="124"/>
      <c r="D21" s="124"/>
      <c r="E21" s="124"/>
      <c r="F21" s="124"/>
      <c r="G21" s="124"/>
      <c r="H21" s="124"/>
      <c r="I21" s="124"/>
      <c r="J21" s="124"/>
      <c r="K21" s="124"/>
      <c r="L21" s="124"/>
    </row>
    <row r="22" spans="1:12" x14ac:dyDescent="0.3">
      <c r="A22" s="169" t="s">
        <v>160</v>
      </c>
      <c r="B22" s="169"/>
      <c r="C22" s="169"/>
      <c r="D22" s="169"/>
      <c r="E22" s="169"/>
      <c r="F22" s="169"/>
      <c r="G22" s="169"/>
      <c r="H22" s="169"/>
      <c r="I22" s="169"/>
      <c r="J22" s="124"/>
      <c r="K22" s="124"/>
      <c r="L22" s="124"/>
    </row>
    <row r="23" spans="1:12" ht="35.25" customHeight="1" x14ac:dyDescent="0.3">
      <c r="A23" s="169" t="s">
        <v>161</v>
      </c>
      <c r="B23" s="169"/>
      <c r="C23" s="169"/>
      <c r="D23" s="169"/>
      <c r="E23" s="169"/>
      <c r="F23" s="169"/>
      <c r="G23" s="169"/>
      <c r="H23" s="169"/>
      <c r="I23" s="169"/>
      <c r="J23" s="124"/>
      <c r="K23" s="124"/>
      <c r="L23" s="124"/>
    </row>
    <row r="24" spans="1:12" x14ac:dyDescent="0.3">
      <c r="A24" s="169" t="s">
        <v>162</v>
      </c>
      <c r="B24" s="169"/>
      <c r="C24" s="169"/>
      <c r="D24" s="169"/>
      <c r="E24" s="169"/>
      <c r="F24" s="169"/>
      <c r="G24" s="169"/>
      <c r="H24" s="169"/>
      <c r="I24" s="169"/>
      <c r="J24" s="124"/>
      <c r="K24" s="124"/>
      <c r="L24" s="124"/>
    </row>
    <row r="25" spans="1:12" x14ac:dyDescent="0.3">
      <c r="A25" s="169" t="s">
        <v>163</v>
      </c>
      <c r="B25" s="169"/>
      <c r="C25" s="169"/>
      <c r="D25" s="169"/>
      <c r="E25" s="169"/>
      <c r="F25" s="169"/>
      <c r="G25" s="169"/>
      <c r="H25" s="169"/>
      <c r="I25" s="169"/>
      <c r="J25" s="124"/>
      <c r="K25" s="124"/>
      <c r="L25" s="124"/>
    </row>
    <row r="26" spans="1:12" x14ac:dyDescent="0.3">
      <c r="A26" s="165" t="s">
        <v>146</v>
      </c>
      <c r="B26" s="165"/>
      <c r="C26" s="165"/>
      <c r="D26" s="165"/>
      <c r="E26" s="165"/>
      <c r="F26" s="165"/>
      <c r="G26" s="165"/>
      <c r="H26" s="165"/>
      <c r="I26" s="165"/>
      <c r="J26" s="124"/>
      <c r="K26" s="124"/>
      <c r="L26" s="124"/>
    </row>
    <row r="27" spans="1:12" x14ac:dyDescent="0.3">
      <c r="A27" s="165" t="s">
        <v>176</v>
      </c>
      <c r="B27" s="165"/>
      <c r="C27" s="165"/>
      <c r="D27" s="165"/>
      <c r="E27" s="165"/>
      <c r="F27" s="165"/>
      <c r="G27" s="165"/>
      <c r="H27" s="165"/>
      <c r="I27" s="165"/>
      <c r="J27" s="124"/>
      <c r="K27" s="124"/>
      <c r="L27" s="124"/>
    </row>
    <row r="28" spans="1:12" ht="15.5" x14ac:dyDescent="0.3">
      <c r="A28" s="2"/>
      <c r="B28" s="29"/>
      <c r="C28" s="29"/>
      <c r="D28" s="29"/>
      <c r="E28" s="29"/>
      <c r="F28" s="29"/>
      <c r="G28" s="29"/>
      <c r="H28" s="29"/>
      <c r="I28" s="29"/>
    </row>
  </sheetData>
  <mergeCells count="8">
    <mergeCell ref="A27:I27"/>
    <mergeCell ref="F19:H19"/>
    <mergeCell ref="A23:I23"/>
    <mergeCell ref="K4:L4"/>
    <mergeCell ref="A22:I22"/>
    <mergeCell ref="A24:I24"/>
    <mergeCell ref="A25:I25"/>
    <mergeCell ref="A26:I26"/>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8"/>
  <sheetViews>
    <sheetView tabSelected="1" workbookViewId="0">
      <selection activeCell="D6" sqref="D6"/>
    </sheetView>
  </sheetViews>
  <sheetFormatPr defaultColWidth="9.1796875" defaultRowHeight="14" x14ac:dyDescent="0.3"/>
  <cols>
    <col min="1" max="1" width="9.1796875" style="29"/>
    <col min="2" max="8" width="12.1796875" style="29" customWidth="1"/>
    <col min="9" max="16384" width="9.1796875" style="29"/>
  </cols>
  <sheetData>
    <row r="1" spans="1:8" ht="15.75" customHeight="1" x14ac:dyDescent="0.3">
      <c r="A1" s="76" t="s">
        <v>185</v>
      </c>
      <c r="B1" s="76"/>
      <c r="C1" s="76"/>
      <c r="D1" s="76"/>
      <c r="E1" s="76"/>
      <c r="F1" s="76"/>
      <c r="G1" s="76"/>
      <c r="H1" s="76"/>
    </row>
    <row r="2" spans="1:8" ht="16.5" customHeight="1" x14ac:dyDescent="0.3">
      <c r="A2" s="76"/>
      <c r="B2" s="76"/>
      <c r="C2" s="76"/>
      <c r="D2" s="76"/>
      <c r="E2" s="76"/>
      <c r="F2" s="76"/>
      <c r="G2" s="76"/>
      <c r="H2" s="76"/>
    </row>
    <row r="3" spans="1:8" ht="26.5" thickBot="1" x14ac:dyDescent="0.35">
      <c r="A3" s="81" t="s">
        <v>20</v>
      </c>
      <c r="B3" s="82" t="s">
        <v>21</v>
      </c>
      <c r="C3" s="82" t="s">
        <v>23</v>
      </c>
      <c r="D3" s="82" t="s">
        <v>22</v>
      </c>
      <c r="E3" s="82" t="s">
        <v>28</v>
      </c>
      <c r="F3" s="82" t="s">
        <v>25</v>
      </c>
      <c r="G3" s="82" t="s">
        <v>29</v>
      </c>
      <c r="H3" s="82" t="s">
        <v>26</v>
      </c>
    </row>
    <row r="4" spans="1:8" ht="14.5" thickTop="1" x14ac:dyDescent="0.3">
      <c r="A4" s="83">
        <v>1</v>
      </c>
      <c r="B4" s="77">
        <f>SUM('TBL5-EPAY1'!F4:F18)</f>
        <v>1995</v>
      </c>
      <c r="C4" s="77">
        <f>SUM('TBL5-EPAY1'!G4:G18)</f>
        <v>99.75</v>
      </c>
      <c r="D4" s="77">
        <f>SUM('TBL5-EPAY1'!H4:H18)</f>
        <v>199.5</v>
      </c>
      <c r="E4" s="77">
        <f>SUM(B4:D4)</f>
        <v>2294.25</v>
      </c>
      <c r="F4" s="78">
        <f>'TBL5-EPAY1'!I19</f>
        <v>114600</v>
      </c>
      <c r="G4" s="78">
        <v>0</v>
      </c>
      <c r="H4" s="78">
        <f>+F4+G4</f>
        <v>114600</v>
      </c>
    </row>
    <row r="5" spans="1:8" x14ac:dyDescent="0.3">
      <c r="A5" s="72">
        <v>2</v>
      </c>
      <c r="B5" s="73">
        <f>SUM('TBL6-EPAY2'!F4:F18)</f>
        <v>560</v>
      </c>
      <c r="C5" s="73">
        <f>SUM('TBL6-EPAY2'!G4:G18)</f>
        <v>28</v>
      </c>
      <c r="D5" s="73">
        <f>SUM('TBL6-EPAY2'!H4:H18)</f>
        <v>56</v>
      </c>
      <c r="E5" s="77">
        <f>SUM(B5:D5)</f>
        <v>644</v>
      </c>
      <c r="F5" s="74">
        <f>'TBL6-EPAY2'!I19</f>
        <v>32200</v>
      </c>
      <c r="G5" s="74">
        <v>0</v>
      </c>
      <c r="H5" s="78">
        <f>+F5+G5</f>
        <v>32200</v>
      </c>
    </row>
    <row r="6" spans="1:8" ht="14.5" thickBot="1" x14ac:dyDescent="0.35">
      <c r="A6" s="84">
        <v>3</v>
      </c>
      <c r="B6" s="79">
        <f>SUM('TBL7-EPAY3'!F6:F18)</f>
        <v>560</v>
      </c>
      <c r="C6" s="79">
        <f>SUM('TBL7-EPAY3'!G6:G18)</f>
        <v>28</v>
      </c>
      <c r="D6" s="79">
        <f>SUM('TBL7-EPAY3'!H6:H18)</f>
        <v>56</v>
      </c>
      <c r="E6" s="79">
        <f>SUM(B6:D6)</f>
        <v>644</v>
      </c>
      <c r="F6" s="80">
        <f>'TBL7-EPAY3'!I19</f>
        <v>32200</v>
      </c>
      <c r="G6" s="80">
        <v>0</v>
      </c>
      <c r="H6" s="80">
        <f>+F6+G6</f>
        <v>32200</v>
      </c>
    </row>
    <row r="7" spans="1:8" ht="14.5" thickTop="1" x14ac:dyDescent="0.3">
      <c r="A7" s="83" t="s">
        <v>18</v>
      </c>
      <c r="B7" s="77">
        <f t="shared" ref="B7:H7" si="0">SUM(B4:B6)</f>
        <v>3115</v>
      </c>
      <c r="C7" s="77">
        <f t="shared" si="0"/>
        <v>155.75</v>
      </c>
      <c r="D7" s="77">
        <f t="shared" si="0"/>
        <v>311.5</v>
      </c>
      <c r="E7" s="77">
        <f t="shared" si="0"/>
        <v>3582.25</v>
      </c>
      <c r="F7" s="78">
        <f t="shared" si="0"/>
        <v>179000</v>
      </c>
      <c r="G7" s="78">
        <f t="shared" si="0"/>
        <v>0</v>
      </c>
      <c r="H7" s="78">
        <f t="shared" si="0"/>
        <v>179000</v>
      </c>
    </row>
    <row r="8" spans="1:8" x14ac:dyDescent="0.3">
      <c r="A8" s="72" t="s">
        <v>27</v>
      </c>
      <c r="B8" s="73">
        <f>AVERAGE(B4:B6)</f>
        <v>1038.3333333333333</v>
      </c>
      <c r="C8" s="73">
        <f>AVERAGE(C4:C6)</f>
        <v>51.916666666666664</v>
      </c>
      <c r="D8" s="73">
        <f>AVERAGE(D4:D6)</f>
        <v>103.83333333333333</v>
      </c>
      <c r="E8" s="73">
        <f>AVERAGE(E4:E6)</f>
        <v>1194.0833333333333</v>
      </c>
      <c r="F8" s="74">
        <f>ROUND(AVERAGE(F4:F6),-2)</f>
        <v>59700</v>
      </c>
      <c r="G8" s="74">
        <f>AVERAGE(G4:G6)</f>
        <v>0</v>
      </c>
      <c r="H8" s="74">
        <f>ROUND(AVERAGE(H4:H6),-2)</f>
        <v>59700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I21"/>
  <sheetViews>
    <sheetView zoomScaleNormal="100" workbookViewId="0">
      <selection activeCell="B19" sqref="B19:D19"/>
    </sheetView>
  </sheetViews>
  <sheetFormatPr defaultColWidth="9.1796875" defaultRowHeight="15.5" x14ac:dyDescent="0.35"/>
  <cols>
    <col min="1" max="1" width="9.1796875" style="30" customWidth="1"/>
    <col min="2" max="2" width="34.54296875" style="30" customWidth="1"/>
    <col min="3" max="3" width="26.453125" style="30" customWidth="1"/>
    <col min="4" max="4" width="22.7265625" style="30" customWidth="1"/>
    <col min="5" max="16384" width="9.1796875" style="30"/>
  </cols>
  <sheetData>
    <row r="2" spans="1:7" x14ac:dyDescent="0.35">
      <c r="A2" s="5"/>
      <c r="B2" s="150" t="s">
        <v>154</v>
      </c>
      <c r="C2" s="151"/>
      <c r="D2" s="151"/>
    </row>
    <row r="3" spans="1:7" ht="18.5" x14ac:dyDescent="0.35">
      <c r="A3" s="32"/>
      <c r="B3" s="33" t="s">
        <v>11</v>
      </c>
      <c r="C3" s="34" t="s">
        <v>17</v>
      </c>
      <c r="D3" s="35" t="s">
        <v>16</v>
      </c>
    </row>
    <row r="4" spans="1:7" ht="18.5" x14ac:dyDescent="0.35">
      <c r="A4" s="32"/>
      <c r="B4" s="36" t="s">
        <v>13</v>
      </c>
      <c r="C4" s="37">
        <v>56.06</v>
      </c>
      <c r="D4" s="38">
        <f>ROUNDUP(C4+(C4*1.1),2)</f>
        <v>117.73</v>
      </c>
    </row>
    <row r="5" spans="1:7" ht="18.5" x14ac:dyDescent="0.35">
      <c r="A5" s="32"/>
      <c r="B5" s="36" t="s">
        <v>15</v>
      </c>
      <c r="C5" s="37">
        <v>50.74</v>
      </c>
      <c r="D5" s="38">
        <f>ROUNDUP(C5+(C5*1.1),2)</f>
        <v>106.56</v>
      </c>
    </row>
    <row r="6" spans="1:7" ht="18.5" x14ac:dyDescent="0.35">
      <c r="A6" s="32"/>
      <c r="B6" s="36" t="s">
        <v>14</v>
      </c>
      <c r="C6" s="37">
        <v>20.7</v>
      </c>
      <c r="D6" s="38">
        <f>ROUNDUP(C6+(C6*1.1),2)</f>
        <v>43.47</v>
      </c>
    </row>
    <row r="7" spans="1:7" ht="18.5" x14ac:dyDescent="0.35">
      <c r="A7" s="32"/>
      <c r="B7" s="39" t="s">
        <v>7</v>
      </c>
      <c r="C7" s="40"/>
      <c r="D7" s="41"/>
      <c r="G7" s="42"/>
    </row>
    <row r="8" spans="1:7" ht="78" customHeight="1" x14ac:dyDescent="0.35">
      <c r="A8" s="32"/>
      <c r="B8" s="152" t="s">
        <v>42</v>
      </c>
      <c r="C8" s="153"/>
      <c r="D8" s="154"/>
    </row>
    <row r="9" spans="1:7" ht="13.5" customHeight="1" x14ac:dyDescent="0.35">
      <c r="A9" s="32"/>
      <c r="B9" s="155" t="s">
        <v>43</v>
      </c>
      <c r="C9" s="156"/>
      <c r="D9" s="157"/>
    </row>
    <row r="10" spans="1:7" ht="35.25" customHeight="1" x14ac:dyDescent="0.35">
      <c r="B10" s="158" t="s">
        <v>44</v>
      </c>
      <c r="C10" s="159"/>
      <c r="D10" s="160"/>
    </row>
    <row r="13" spans="1:7" x14ac:dyDescent="0.35">
      <c r="B13" s="161" t="s">
        <v>12</v>
      </c>
      <c r="C13" s="151"/>
      <c r="D13" s="151"/>
    </row>
    <row r="14" spans="1:7" ht="28.5" customHeight="1" x14ac:dyDescent="0.35">
      <c r="B14" s="43" t="s">
        <v>11</v>
      </c>
      <c r="C14" s="43" t="s">
        <v>17</v>
      </c>
      <c r="D14" s="44" t="s">
        <v>36</v>
      </c>
    </row>
    <row r="15" spans="1:7" x14ac:dyDescent="0.35">
      <c r="B15" s="45" t="s">
        <v>10</v>
      </c>
      <c r="C15" s="46">
        <v>32.020000000000003</v>
      </c>
      <c r="D15" s="47">
        <f>ROUNDUP(C15*1.6,2)</f>
        <v>51.239999999999995</v>
      </c>
    </row>
    <row r="16" spans="1:7" x14ac:dyDescent="0.35">
      <c r="B16" s="48" t="s">
        <v>9</v>
      </c>
      <c r="C16" s="47">
        <v>43.15</v>
      </c>
      <c r="D16" s="47">
        <f>ROUNDUP(C16*1.6,2)</f>
        <v>69.040000000000006</v>
      </c>
    </row>
    <row r="17" spans="2:9" x14ac:dyDescent="0.35">
      <c r="B17" s="45" t="s">
        <v>8</v>
      </c>
      <c r="C17" s="46">
        <v>17.329999999999998</v>
      </c>
      <c r="D17" s="47">
        <f>ROUNDUP(C17*1.6,2)</f>
        <v>27.73</v>
      </c>
    </row>
    <row r="18" spans="2:9" x14ac:dyDescent="0.35">
      <c r="B18" s="39" t="s">
        <v>7</v>
      </c>
      <c r="C18" s="49"/>
      <c r="D18" s="50"/>
    </row>
    <row r="19" spans="2:9" ht="21" customHeight="1" x14ac:dyDescent="0.35">
      <c r="B19" s="162" t="s">
        <v>45</v>
      </c>
      <c r="C19" s="163"/>
      <c r="D19" s="164"/>
    </row>
    <row r="20" spans="2:9" ht="30" customHeight="1" x14ac:dyDescent="0.35">
      <c r="B20" s="144" t="s">
        <v>46</v>
      </c>
      <c r="C20" s="145"/>
      <c r="D20" s="146"/>
      <c r="E20" s="51"/>
      <c r="F20" s="51"/>
      <c r="G20" s="51"/>
      <c r="H20" s="51"/>
      <c r="I20" s="51"/>
    </row>
    <row r="21" spans="2:9" ht="36" customHeight="1" x14ac:dyDescent="0.35">
      <c r="B21" s="147" t="s">
        <v>47</v>
      </c>
      <c r="C21" s="148"/>
      <c r="D21" s="149"/>
      <c r="E21" s="51"/>
      <c r="F21" s="51"/>
      <c r="G21" s="51"/>
      <c r="H21" s="51"/>
      <c r="I21" s="51"/>
    </row>
  </sheetData>
  <mergeCells count="8">
    <mergeCell ref="B20:D20"/>
    <mergeCell ref="B21:D21"/>
    <mergeCell ref="B2:D2"/>
    <mergeCell ref="B8:D8"/>
    <mergeCell ref="B9:D9"/>
    <mergeCell ref="B10:D10"/>
    <mergeCell ref="B13:D13"/>
    <mergeCell ref="B19:D19"/>
  </mergeCells>
  <hyperlinks>
    <hyperlink ref="B9" r:id="rId1" xr:uid="{00000000-0004-0000-0100-000000000000}"/>
    <hyperlink ref="B20" r:id="rId2" xr:uid="{00000000-0004-0000-0100-000001000000}"/>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96"/>
  <sheetViews>
    <sheetView zoomScale="110" zoomScaleNormal="110" workbookViewId="0">
      <selection activeCell="A3" sqref="A3"/>
    </sheetView>
  </sheetViews>
  <sheetFormatPr defaultColWidth="9.1796875" defaultRowHeight="14" x14ac:dyDescent="0.3"/>
  <cols>
    <col min="1" max="1" width="68.81640625" style="60" bestFit="1" customWidth="1"/>
    <col min="2" max="2" width="10.26953125" style="60" customWidth="1"/>
    <col min="3" max="3" width="11.26953125" style="60" customWidth="1"/>
    <col min="4" max="4" width="10.26953125" style="60" customWidth="1"/>
    <col min="5" max="5" width="11.81640625" style="60" customWidth="1"/>
    <col min="6" max="8" width="10.26953125" style="60" customWidth="1"/>
    <col min="9" max="10" width="13" style="60" customWidth="1"/>
    <col min="11" max="11" width="13.7265625" style="60" bestFit="1" customWidth="1"/>
    <col min="12" max="16384" width="9.1796875" style="60"/>
  </cols>
  <sheetData>
    <row r="1" spans="1:15" x14ac:dyDescent="0.3">
      <c r="A1" s="65" t="s">
        <v>118</v>
      </c>
    </row>
    <row r="3" spans="1:15" ht="78" x14ac:dyDescent="0.3">
      <c r="A3" s="87" t="s">
        <v>0</v>
      </c>
      <c r="B3" s="87" t="s">
        <v>48</v>
      </c>
      <c r="C3" s="87" t="s">
        <v>49</v>
      </c>
      <c r="D3" s="87" t="s">
        <v>50</v>
      </c>
      <c r="E3" s="87" t="s">
        <v>51</v>
      </c>
      <c r="F3" s="87" t="s">
        <v>52</v>
      </c>
      <c r="G3" s="87" t="s">
        <v>53</v>
      </c>
      <c r="H3" s="87" t="s">
        <v>54</v>
      </c>
      <c r="I3" s="87" t="s">
        <v>55</v>
      </c>
      <c r="J3" s="18"/>
    </row>
    <row r="4" spans="1:15" s="66" customFormat="1" ht="25.5" customHeight="1" x14ac:dyDescent="0.3">
      <c r="A4" s="88" t="s">
        <v>56</v>
      </c>
      <c r="B4" s="16" t="s">
        <v>3</v>
      </c>
      <c r="C4" s="16"/>
      <c r="D4" s="16"/>
      <c r="E4" s="16"/>
      <c r="F4" s="16"/>
      <c r="G4" s="16"/>
      <c r="H4" s="16"/>
      <c r="I4" s="58"/>
      <c r="J4" s="19"/>
      <c r="K4" s="166" t="s">
        <v>117</v>
      </c>
      <c r="L4" s="167"/>
      <c r="M4" s="28"/>
      <c r="N4" s="28"/>
      <c r="O4" s="28"/>
    </row>
    <row r="5" spans="1:15" x14ac:dyDescent="0.3">
      <c r="A5" s="89" t="s">
        <v>57</v>
      </c>
      <c r="B5" s="90" t="s">
        <v>3</v>
      </c>
      <c r="C5" s="90"/>
      <c r="D5" s="16"/>
      <c r="E5" s="16"/>
      <c r="F5" s="16"/>
      <c r="G5" s="16"/>
      <c r="H5" s="16"/>
      <c r="I5" s="58"/>
      <c r="J5" s="67"/>
      <c r="K5" s="54" t="s">
        <v>13</v>
      </c>
      <c r="L5" s="61">
        <v>141.06</v>
      </c>
      <c r="M5" s="7"/>
      <c r="N5" s="7"/>
      <c r="O5" s="7"/>
    </row>
    <row r="6" spans="1:15" ht="15.5" x14ac:dyDescent="0.3">
      <c r="A6" s="91" t="s">
        <v>58</v>
      </c>
      <c r="B6" s="92">
        <v>40</v>
      </c>
      <c r="C6" s="92">
        <v>1</v>
      </c>
      <c r="D6" s="93">
        <f>B6*C6</f>
        <v>40</v>
      </c>
      <c r="E6" s="92">
        <v>1</v>
      </c>
      <c r="F6" s="94">
        <f>E6*D6</f>
        <v>40</v>
      </c>
      <c r="G6" s="86">
        <f>+F6*0.05</f>
        <v>2</v>
      </c>
      <c r="H6" s="86">
        <f>+F6*0.1</f>
        <v>4</v>
      </c>
      <c r="I6" s="57">
        <f>+$L$6*F6+$L$5*G6+$L$7*H6</f>
        <v>5327.6</v>
      </c>
      <c r="J6" s="20"/>
      <c r="K6" s="54" t="s">
        <v>15</v>
      </c>
      <c r="L6" s="61">
        <v>120.27</v>
      </c>
      <c r="M6" s="7"/>
      <c r="N6" s="7"/>
      <c r="O6" s="7"/>
    </row>
    <row r="7" spans="1:15" x14ac:dyDescent="0.3">
      <c r="A7" s="95" t="s">
        <v>59</v>
      </c>
      <c r="B7" s="96"/>
      <c r="C7" s="96"/>
      <c r="D7" s="93"/>
      <c r="E7" s="96"/>
      <c r="F7" s="94"/>
      <c r="G7" s="86"/>
      <c r="H7" s="86"/>
      <c r="I7" s="57"/>
      <c r="J7" s="20"/>
      <c r="K7" s="55" t="s">
        <v>14</v>
      </c>
      <c r="L7" s="61">
        <v>58.67</v>
      </c>
      <c r="M7" s="7"/>
      <c r="N7" s="6"/>
      <c r="O7" s="7"/>
    </row>
    <row r="8" spans="1:15" ht="15.5" x14ac:dyDescent="0.35">
      <c r="A8" s="97" t="s">
        <v>60</v>
      </c>
      <c r="B8" s="92">
        <v>2</v>
      </c>
      <c r="C8" s="92">
        <v>1</v>
      </c>
      <c r="D8" s="93">
        <f t="shared" ref="D8:D42" si="0">B8*C8</f>
        <v>2</v>
      </c>
      <c r="E8" s="92">
        <v>37</v>
      </c>
      <c r="F8" s="94">
        <f t="shared" ref="F8:F31" si="1">E8*D8</f>
        <v>74</v>
      </c>
      <c r="G8" s="86">
        <f t="shared" ref="G8:G31" si="2">+F8*0.05</f>
        <v>3.7</v>
      </c>
      <c r="H8" s="86">
        <f t="shared" ref="H8:H31" si="3">+F8*0.1</f>
        <v>7.4</v>
      </c>
      <c r="I8" s="57">
        <f>+$L$6*F8+$L$5*G8+$L$7*H8</f>
        <v>9856.06</v>
      </c>
      <c r="J8" s="21"/>
      <c r="M8" s="52"/>
      <c r="N8" s="68"/>
      <c r="O8" s="52"/>
    </row>
    <row r="9" spans="1:15" ht="15.5" x14ac:dyDescent="0.35">
      <c r="A9" s="97" t="s">
        <v>61</v>
      </c>
      <c r="B9" s="98"/>
      <c r="C9" s="98"/>
      <c r="D9" s="93"/>
      <c r="E9" s="98"/>
      <c r="F9" s="94"/>
      <c r="G9" s="86"/>
      <c r="H9" s="86"/>
      <c r="I9" s="57"/>
      <c r="J9" s="21"/>
      <c r="K9" s="52"/>
      <c r="L9" s="52"/>
      <c r="M9" s="52"/>
      <c r="N9" s="10"/>
      <c r="O9" s="52"/>
    </row>
    <row r="10" spans="1:15" ht="18.75" customHeight="1" x14ac:dyDescent="0.3">
      <c r="A10" s="99" t="s">
        <v>62</v>
      </c>
      <c r="B10" s="100">
        <v>40</v>
      </c>
      <c r="C10" s="100">
        <v>1</v>
      </c>
      <c r="D10" s="101">
        <f t="shared" ref="D10" si="4">B10*C10</f>
        <v>40</v>
      </c>
      <c r="E10" s="100">
        <v>22.6</v>
      </c>
      <c r="F10" s="102">
        <f t="shared" ref="F10" si="5">E10*D10</f>
        <v>904</v>
      </c>
      <c r="G10" s="103">
        <f t="shared" ref="G10" si="6">+F10*0.05</f>
        <v>45.2</v>
      </c>
      <c r="H10" s="103">
        <f t="shared" ref="H10" si="7">+F10*0.1</f>
        <v>90.4</v>
      </c>
      <c r="I10" s="57">
        <f>+$L$6*F10+$L$5*G10+$L$7*H10</f>
        <v>120403.76</v>
      </c>
      <c r="J10" s="21"/>
      <c r="K10" s="53"/>
      <c r="L10" s="52"/>
      <c r="M10" s="52"/>
      <c r="N10" s="11"/>
      <c r="O10" s="52"/>
    </row>
    <row r="11" spans="1:15" ht="18.75" customHeight="1" x14ac:dyDescent="0.3">
      <c r="A11" s="104" t="s">
        <v>63</v>
      </c>
      <c r="B11" s="92">
        <v>8</v>
      </c>
      <c r="C11" s="92">
        <v>1</v>
      </c>
      <c r="D11" s="93">
        <f t="shared" si="0"/>
        <v>8</v>
      </c>
      <c r="E11" s="92">
        <f>E8</f>
        <v>37</v>
      </c>
      <c r="F11" s="94">
        <f t="shared" si="1"/>
        <v>296</v>
      </c>
      <c r="G11" s="86">
        <f t="shared" si="2"/>
        <v>14.8</v>
      </c>
      <c r="H11" s="86">
        <f t="shared" si="3"/>
        <v>29.6</v>
      </c>
      <c r="I11" s="57">
        <f>+$L$6*F11+$L$5*G11+$L$7*H11</f>
        <v>39424.239999999998</v>
      </c>
      <c r="J11" s="21"/>
      <c r="K11" s="52"/>
      <c r="L11" s="52"/>
      <c r="M11" s="52"/>
      <c r="N11" s="8"/>
      <c r="O11" s="52"/>
    </row>
    <row r="12" spans="1:15" ht="18.75" customHeight="1" x14ac:dyDescent="0.3">
      <c r="A12" s="104" t="s">
        <v>64</v>
      </c>
      <c r="B12" s="92">
        <v>8</v>
      </c>
      <c r="C12" s="92">
        <v>1</v>
      </c>
      <c r="D12" s="93">
        <f t="shared" si="0"/>
        <v>8</v>
      </c>
      <c r="E12" s="92">
        <f>E8</f>
        <v>37</v>
      </c>
      <c r="F12" s="94">
        <f t="shared" si="1"/>
        <v>296</v>
      </c>
      <c r="G12" s="86">
        <f t="shared" si="2"/>
        <v>14.8</v>
      </c>
      <c r="H12" s="86">
        <f t="shared" si="3"/>
        <v>29.6</v>
      </c>
      <c r="I12" s="57">
        <f>+$L$6*F12+$L$5*G12+$L$7*H12</f>
        <v>39424.239999999998</v>
      </c>
      <c r="J12" s="21"/>
      <c r="K12" s="53"/>
      <c r="L12" s="52"/>
      <c r="M12" s="52"/>
      <c r="N12" s="8"/>
      <c r="O12" s="52"/>
    </row>
    <row r="13" spans="1:15" ht="28.5" x14ac:dyDescent="0.35">
      <c r="A13" s="104" t="s">
        <v>65</v>
      </c>
      <c r="B13" s="96">
        <v>4</v>
      </c>
      <c r="C13" s="96">
        <v>1</v>
      </c>
      <c r="D13" s="93">
        <f t="shared" si="0"/>
        <v>4</v>
      </c>
      <c r="E13" s="96">
        <f>E8</f>
        <v>37</v>
      </c>
      <c r="F13" s="94">
        <f t="shared" si="1"/>
        <v>148</v>
      </c>
      <c r="G13" s="86">
        <f t="shared" si="2"/>
        <v>7.4</v>
      </c>
      <c r="H13" s="86">
        <f t="shared" si="3"/>
        <v>14.8</v>
      </c>
      <c r="I13" s="57">
        <f>+$L$6*F13+$L$5*G13+$L$7*H13</f>
        <v>19712.12</v>
      </c>
      <c r="J13" s="21"/>
      <c r="K13" s="52"/>
      <c r="L13" s="52"/>
      <c r="M13" s="52"/>
      <c r="N13" s="10"/>
      <c r="O13" s="52"/>
    </row>
    <row r="14" spans="1:15" ht="15.5" x14ac:dyDescent="0.35">
      <c r="A14" s="97" t="s">
        <v>66</v>
      </c>
      <c r="B14" s="96" t="s">
        <v>19</v>
      </c>
      <c r="C14" s="96"/>
      <c r="D14" s="93"/>
      <c r="E14" s="96"/>
      <c r="F14" s="94"/>
      <c r="G14" s="86"/>
      <c r="H14" s="86"/>
      <c r="I14" s="57"/>
      <c r="J14" s="21"/>
      <c r="K14" s="52"/>
      <c r="L14" s="52"/>
      <c r="M14" s="52"/>
      <c r="N14" s="10"/>
      <c r="O14" s="52"/>
    </row>
    <row r="15" spans="1:15" ht="15.5" x14ac:dyDescent="0.35">
      <c r="A15" s="97" t="s">
        <v>67</v>
      </c>
      <c r="B15" s="96" t="s">
        <v>19</v>
      </c>
      <c r="C15" s="96"/>
      <c r="D15" s="93"/>
      <c r="E15" s="96"/>
      <c r="F15" s="94"/>
      <c r="G15" s="86"/>
      <c r="H15" s="86"/>
      <c r="I15" s="57"/>
      <c r="J15" s="21"/>
      <c r="K15" s="53"/>
      <c r="L15" s="52"/>
      <c r="M15" s="52"/>
      <c r="N15" s="10"/>
      <c r="O15" s="52"/>
    </row>
    <row r="16" spans="1:15" ht="15.5" x14ac:dyDescent="0.35">
      <c r="A16" s="97" t="s">
        <v>68</v>
      </c>
      <c r="B16" s="96"/>
      <c r="C16" s="96"/>
      <c r="D16" s="93"/>
      <c r="E16" s="96"/>
      <c r="F16" s="94"/>
      <c r="G16" s="86"/>
      <c r="H16" s="86"/>
      <c r="I16" s="57"/>
      <c r="J16" s="21"/>
      <c r="K16" s="53"/>
      <c r="L16" s="52"/>
      <c r="M16" s="52"/>
      <c r="N16" s="10"/>
      <c r="O16" s="52"/>
    </row>
    <row r="17" spans="1:15" ht="15.5" x14ac:dyDescent="0.35">
      <c r="A17" s="105" t="s">
        <v>69</v>
      </c>
      <c r="B17" s="106">
        <v>2</v>
      </c>
      <c r="C17" s="106">
        <v>1</v>
      </c>
      <c r="D17" s="93">
        <f t="shared" si="0"/>
        <v>2</v>
      </c>
      <c r="E17" s="106">
        <f>1</f>
        <v>1</v>
      </c>
      <c r="F17" s="94">
        <f t="shared" si="1"/>
        <v>2</v>
      </c>
      <c r="G17" s="107">
        <f t="shared" si="2"/>
        <v>0.1</v>
      </c>
      <c r="H17" s="107">
        <f t="shared" si="3"/>
        <v>0.2</v>
      </c>
      <c r="I17" s="57">
        <f>+$L$6*F17+$L$5*G17+$L$7*H17</f>
        <v>266.38</v>
      </c>
      <c r="J17" s="21"/>
      <c r="K17" s="53"/>
      <c r="L17" s="52"/>
      <c r="M17" s="52"/>
      <c r="N17" s="10"/>
      <c r="O17" s="52"/>
    </row>
    <row r="18" spans="1:15" ht="15.5" x14ac:dyDescent="0.3">
      <c r="A18" s="108" t="s">
        <v>70</v>
      </c>
      <c r="B18" s="92">
        <v>2</v>
      </c>
      <c r="C18" s="92">
        <v>1</v>
      </c>
      <c r="D18" s="93">
        <f t="shared" si="0"/>
        <v>2</v>
      </c>
      <c r="E18" s="92">
        <f>E17</f>
        <v>1</v>
      </c>
      <c r="F18" s="94">
        <f t="shared" si="1"/>
        <v>2</v>
      </c>
      <c r="G18" s="107">
        <f t="shared" si="2"/>
        <v>0.1</v>
      </c>
      <c r="H18" s="107">
        <f t="shared" si="3"/>
        <v>0.2</v>
      </c>
      <c r="I18" s="57">
        <f>+$L$6*F18+$L$5*G18+$L$7*H18</f>
        <v>266.38</v>
      </c>
      <c r="J18" s="21"/>
      <c r="K18" s="52"/>
      <c r="L18" s="52"/>
      <c r="M18" s="52"/>
      <c r="N18" s="52"/>
      <c r="O18" s="52"/>
    </row>
    <row r="19" spans="1:15" ht="15.5" x14ac:dyDescent="0.3">
      <c r="A19" s="108" t="s">
        <v>71</v>
      </c>
      <c r="B19" s="92">
        <v>2</v>
      </c>
      <c r="C19" s="92">
        <v>1</v>
      </c>
      <c r="D19" s="93">
        <f t="shared" si="0"/>
        <v>2</v>
      </c>
      <c r="E19" s="92">
        <f>E17</f>
        <v>1</v>
      </c>
      <c r="F19" s="94">
        <f t="shared" si="1"/>
        <v>2</v>
      </c>
      <c r="G19" s="107">
        <f t="shared" si="2"/>
        <v>0.1</v>
      </c>
      <c r="H19" s="107">
        <f t="shared" si="3"/>
        <v>0.2</v>
      </c>
      <c r="I19" s="57">
        <f>+$L$6*F19+$L$5*G19+$L$7*H19</f>
        <v>266.38</v>
      </c>
      <c r="J19" s="21"/>
      <c r="K19" s="53"/>
      <c r="L19" s="52"/>
      <c r="M19" s="52"/>
      <c r="N19" s="52"/>
      <c r="O19" s="52"/>
    </row>
    <row r="20" spans="1:15" ht="15.5" x14ac:dyDescent="0.3">
      <c r="A20" s="108" t="s">
        <v>72</v>
      </c>
      <c r="B20" s="92">
        <v>2</v>
      </c>
      <c r="C20" s="92">
        <v>1</v>
      </c>
      <c r="D20" s="93">
        <f t="shared" si="0"/>
        <v>2</v>
      </c>
      <c r="E20" s="92">
        <v>1</v>
      </c>
      <c r="F20" s="94">
        <f t="shared" si="1"/>
        <v>2</v>
      </c>
      <c r="G20" s="107">
        <f t="shared" si="2"/>
        <v>0.1</v>
      </c>
      <c r="H20" s="107">
        <f t="shared" si="3"/>
        <v>0.2</v>
      </c>
      <c r="I20" s="57">
        <f>+$L$6*F20+$L$5*G20+$L$7*H20</f>
        <v>266.38</v>
      </c>
      <c r="J20" s="21"/>
      <c r="K20" s="53"/>
      <c r="L20" s="52"/>
      <c r="M20" s="52"/>
      <c r="N20" s="52"/>
      <c r="O20" s="52"/>
    </row>
    <row r="21" spans="1:15" x14ac:dyDescent="0.3">
      <c r="A21" s="104" t="s">
        <v>73</v>
      </c>
      <c r="B21" s="92" t="s">
        <v>3</v>
      </c>
      <c r="C21" s="92"/>
      <c r="D21" s="93"/>
      <c r="E21" s="92"/>
      <c r="F21" s="94"/>
      <c r="G21" s="86"/>
      <c r="H21" s="86"/>
      <c r="I21" s="57"/>
      <c r="J21" s="21"/>
      <c r="K21" s="53"/>
      <c r="L21" s="52"/>
      <c r="M21" s="52"/>
      <c r="N21" s="52"/>
      <c r="O21" s="52"/>
    </row>
    <row r="22" spans="1:15" ht="18.75" customHeight="1" x14ac:dyDescent="0.3">
      <c r="A22" s="108" t="s">
        <v>74</v>
      </c>
      <c r="B22" s="92">
        <v>2</v>
      </c>
      <c r="C22" s="92">
        <v>1</v>
      </c>
      <c r="D22" s="93">
        <f t="shared" si="0"/>
        <v>2</v>
      </c>
      <c r="E22" s="92">
        <f>E17</f>
        <v>1</v>
      </c>
      <c r="F22" s="94">
        <f t="shared" si="1"/>
        <v>2</v>
      </c>
      <c r="G22" s="107">
        <f t="shared" si="2"/>
        <v>0.1</v>
      </c>
      <c r="H22" s="107">
        <f t="shared" si="3"/>
        <v>0.2</v>
      </c>
      <c r="I22" s="57">
        <f t="shared" ref="I22:I28" si="8">+$L$6*F22+$L$5*G22+$L$7*H22</f>
        <v>266.38</v>
      </c>
      <c r="J22" s="21"/>
      <c r="K22" s="53"/>
      <c r="L22" s="52"/>
      <c r="M22" s="52"/>
      <c r="N22" s="52"/>
      <c r="O22" s="52"/>
    </row>
    <row r="23" spans="1:15" ht="15.5" x14ac:dyDescent="0.3">
      <c r="A23" s="99" t="s">
        <v>75</v>
      </c>
      <c r="B23" s="92">
        <v>2</v>
      </c>
      <c r="C23" s="92">
        <v>1</v>
      </c>
      <c r="D23" s="93">
        <f t="shared" si="0"/>
        <v>2</v>
      </c>
      <c r="E23" s="109">
        <f>E10+1</f>
        <v>23.6</v>
      </c>
      <c r="F23" s="94">
        <f t="shared" si="1"/>
        <v>47.2</v>
      </c>
      <c r="G23" s="86">
        <f t="shared" si="2"/>
        <v>2.3600000000000003</v>
      </c>
      <c r="H23" s="86">
        <f t="shared" si="3"/>
        <v>4.7200000000000006</v>
      </c>
      <c r="I23" s="57">
        <f t="shared" si="8"/>
        <v>6286.5680000000011</v>
      </c>
      <c r="J23" s="21"/>
      <c r="K23" s="52"/>
      <c r="L23" s="52"/>
      <c r="M23" s="52"/>
      <c r="N23" s="52"/>
      <c r="O23" s="52"/>
    </row>
    <row r="24" spans="1:15" x14ac:dyDescent="0.3">
      <c r="A24" s="108" t="s">
        <v>76</v>
      </c>
      <c r="B24" s="92">
        <v>2</v>
      </c>
      <c r="C24" s="92">
        <v>1</v>
      </c>
      <c r="D24" s="93">
        <f t="shared" si="0"/>
        <v>2</v>
      </c>
      <c r="E24" s="92">
        <f>E8</f>
        <v>37</v>
      </c>
      <c r="F24" s="94">
        <f t="shared" si="1"/>
        <v>74</v>
      </c>
      <c r="G24" s="86">
        <f t="shared" si="2"/>
        <v>3.7</v>
      </c>
      <c r="H24" s="86">
        <f t="shared" si="3"/>
        <v>7.4</v>
      </c>
      <c r="I24" s="57">
        <f t="shared" si="8"/>
        <v>9856.06</v>
      </c>
      <c r="J24" s="21"/>
      <c r="K24" s="52"/>
      <c r="L24" s="52"/>
      <c r="M24" s="52"/>
      <c r="N24" s="52"/>
      <c r="O24" s="52"/>
    </row>
    <row r="25" spans="1:15" ht="15.5" x14ac:dyDescent="0.3">
      <c r="A25" s="108" t="s">
        <v>77</v>
      </c>
      <c r="B25" s="92">
        <v>40</v>
      </c>
      <c r="C25" s="92">
        <v>1</v>
      </c>
      <c r="D25" s="93">
        <f t="shared" si="0"/>
        <v>40</v>
      </c>
      <c r="E25" s="92">
        <f>E17</f>
        <v>1</v>
      </c>
      <c r="F25" s="94">
        <f t="shared" si="1"/>
        <v>40</v>
      </c>
      <c r="G25" s="86">
        <f t="shared" si="2"/>
        <v>2</v>
      </c>
      <c r="H25" s="86">
        <f t="shared" si="3"/>
        <v>4</v>
      </c>
      <c r="I25" s="57">
        <f t="shared" si="8"/>
        <v>5327.6</v>
      </c>
      <c r="J25" s="21"/>
      <c r="K25" s="52"/>
      <c r="L25" s="52"/>
      <c r="M25" s="52"/>
      <c r="N25" s="52"/>
      <c r="O25" s="52"/>
    </row>
    <row r="26" spans="1:15" ht="15.5" x14ac:dyDescent="0.3">
      <c r="A26" s="108" t="s">
        <v>78</v>
      </c>
      <c r="B26" s="92">
        <v>40</v>
      </c>
      <c r="C26" s="92">
        <v>1</v>
      </c>
      <c r="D26" s="93">
        <f t="shared" si="0"/>
        <v>40</v>
      </c>
      <c r="E26" s="92">
        <f>E17</f>
        <v>1</v>
      </c>
      <c r="F26" s="94">
        <f t="shared" si="1"/>
        <v>40</v>
      </c>
      <c r="G26" s="86">
        <f t="shared" si="2"/>
        <v>2</v>
      </c>
      <c r="H26" s="86">
        <f t="shared" si="3"/>
        <v>4</v>
      </c>
      <c r="I26" s="57">
        <f t="shared" si="8"/>
        <v>5327.6</v>
      </c>
      <c r="J26" s="21"/>
      <c r="K26" s="53"/>
      <c r="L26" s="52"/>
      <c r="M26" s="52"/>
      <c r="N26" s="52"/>
      <c r="O26" s="52"/>
    </row>
    <row r="27" spans="1:15" ht="15.5" x14ac:dyDescent="0.3">
      <c r="A27" s="108" t="s">
        <v>79</v>
      </c>
      <c r="B27" s="92">
        <v>40</v>
      </c>
      <c r="C27" s="92">
        <v>1</v>
      </c>
      <c r="D27" s="93">
        <f t="shared" si="0"/>
        <v>40</v>
      </c>
      <c r="E27" s="92">
        <f>E17</f>
        <v>1</v>
      </c>
      <c r="F27" s="94">
        <f t="shared" si="1"/>
        <v>40</v>
      </c>
      <c r="G27" s="86">
        <f t="shared" si="2"/>
        <v>2</v>
      </c>
      <c r="H27" s="86">
        <f t="shared" si="3"/>
        <v>4</v>
      </c>
      <c r="I27" s="57">
        <f t="shared" si="8"/>
        <v>5327.6</v>
      </c>
      <c r="J27" s="22"/>
      <c r="K27" s="52"/>
      <c r="L27" s="52"/>
      <c r="M27" s="52"/>
      <c r="N27" s="52"/>
      <c r="O27" s="52"/>
    </row>
    <row r="28" spans="1:15" ht="15.5" x14ac:dyDescent="0.3">
      <c r="A28" s="104" t="s">
        <v>80</v>
      </c>
      <c r="B28" s="92">
        <v>8</v>
      </c>
      <c r="C28" s="92">
        <v>1</v>
      </c>
      <c r="D28" s="93">
        <f t="shared" si="0"/>
        <v>8</v>
      </c>
      <c r="E28" s="92">
        <f>E17</f>
        <v>1</v>
      </c>
      <c r="F28" s="94">
        <f t="shared" si="1"/>
        <v>8</v>
      </c>
      <c r="G28" s="107">
        <f t="shared" si="2"/>
        <v>0.4</v>
      </c>
      <c r="H28" s="107">
        <f t="shared" si="3"/>
        <v>0.8</v>
      </c>
      <c r="I28" s="57">
        <f t="shared" si="8"/>
        <v>1065.52</v>
      </c>
      <c r="J28" s="21"/>
      <c r="K28" s="53"/>
      <c r="L28" s="52"/>
      <c r="M28" s="52"/>
      <c r="N28" s="52"/>
      <c r="O28" s="52"/>
    </row>
    <row r="29" spans="1:15" x14ac:dyDescent="0.3">
      <c r="A29" s="108" t="s">
        <v>81</v>
      </c>
      <c r="B29" s="92" t="s">
        <v>3</v>
      </c>
      <c r="C29" s="92"/>
      <c r="D29" s="93"/>
      <c r="E29" s="92"/>
      <c r="F29" s="94"/>
      <c r="G29" s="86"/>
      <c r="H29" s="86"/>
      <c r="I29" s="57"/>
      <c r="J29" s="21"/>
      <c r="K29" s="53"/>
      <c r="L29" s="52"/>
      <c r="M29" s="52"/>
      <c r="N29" s="52"/>
      <c r="O29" s="52"/>
    </row>
    <row r="30" spans="1:15" ht="15.5" x14ac:dyDescent="0.3">
      <c r="A30" s="108" t="s">
        <v>82</v>
      </c>
      <c r="B30" s="92">
        <v>8</v>
      </c>
      <c r="C30" s="92">
        <v>2</v>
      </c>
      <c r="D30" s="93">
        <f t="shared" si="0"/>
        <v>16</v>
      </c>
      <c r="E30" s="92">
        <f>E8</f>
        <v>37</v>
      </c>
      <c r="F30" s="94">
        <f t="shared" si="1"/>
        <v>592</v>
      </c>
      <c r="G30" s="86">
        <f t="shared" si="2"/>
        <v>29.6</v>
      </c>
      <c r="H30" s="86">
        <f t="shared" si="3"/>
        <v>59.2</v>
      </c>
      <c r="I30" s="57">
        <f>+$L$6*F30+$L$5*G30+$L$7*H30</f>
        <v>78848.479999999996</v>
      </c>
      <c r="J30" s="21"/>
      <c r="K30" s="53"/>
      <c r="L30" s="52"/>
      <c r="M30" s="52"/>
      <c r="N30" s="52"/>
      <c r="O30" s="52"/>
    </row>
    <row r="31" spans="1:15" ht="15.5" x14ac:dyDescent="0.3">
      <c r="A31" s="110" t="s">
        <v>83</v>
      </c>
      <c r="B31" s="106">
        <v>8</v>
      </c>
      <c r="C31" s="106">
        <v>1</v>
      </c>
      <c r="D31" s="93">
        <f t="shared" si="0"/>
        <v>8</v>
      </c>
      <c r="E31" s="109">
        <f>E8*0.05</f>
        <v>1.85</v>
      </c>
      <c r="F31" s="94">
        <f t="shared" si="1"/>
        <v>14.8</v>
      </c>
      <c r="G31" s="107">
        <f t="shared" si="2"/>
        <v>0.7400000000000001</v>
      </c>
      <c r="H31" s="86">
        <f t="shared" si="3"/>
        <v>1.4800000000000002</v>
      </c>
      <c r="I31" s="57">
        <f>+$L$6*F31+$L$5*G31+$L$7*H31</f>
        <v>1971.212</v>
      </c>
      <c r="J31" s="21"/>
      <c r="K31" s="53"/>
      <c r="L31" s="52"/>
      <c r="M31" s="52"/>
      <c r="N31" s="52"/>
      <c r="O31" s="52"/>
    </row>
    <row r="32" spans="1:15" x14ac:dyDescent="0.3">
      <c r="A32" s="111" t="s">
        <v>1</v>
      </c>
      <c r="B32" s="92"/>
      <c r="C32" s="92"/>
      <c r="D32" s="93"/>
      <c r="E32" s="92"/>
      <c r="F32" s="174">
        <f>SUM(F6:H31)</f>
        <v>3017.5999999999995</v>
      </c>
      <c r="G32" s="173"/>
      <c r="H32" s="173"/>
      <c r="I32" s="112">
        <f>SUM(I6:I31)</f>
        <v>349490.55999999994</v>
      </c>
      <c r="J32" s="22"/>
      <c r="K32" s="52"/>
      <c r="L32" s="52"/>
      <c r="M32" s="52"/>
      <c r="N32" s="52"/>
      <c r="O32" s="52"/>
    </row>
    <row r="33" spans="1:15" x14ac:dyDescent="0.3">
      <c r="A33" s="95" t="s">
        <v>84</v>
      </c>
      <c r="B33" s="96"/>
      <c r="C33" s="96"/>
      <c r="D33" s="93"/>
      <c r="E33" s="96"/>
      <c r="F33" s="94"/>
      <c r="G33" s="86"/>
      <c r="H33" s="86"/>
      <c r="I33" s="56"/>
      <c r="J33" s="21"/>
      <c r="K33" s="52"/>
      <c r="L33" s="52"/>
      <c r="M33" s="52"/>
      <c r="N33" s="52"/>
      <c r="O33" s="52"/>
    </row>
    <row r="34" spans="1:15" x14ac:dyDescent="0.3">
      <c r="A34" s="97" t="s">
        <v>85</v>
      </c>
      <c r="B34" s="92" t="s">
        <v>35</v>
      </c>
      <c r="C34" s="95"/>
      <c r="D34" s="93"/>
      <c r="E34" s="95"/>
      <c r="F34" s="94"/>
      <c r="G34" s="113"/>
      <c r="H34" s="113"/>
      <c r="I34" s="57"/>
      <c r="J34" s="21"/>
      <c r="K34" s="53"/>
      <c r="L34" s="52"/>
      <c r="M34" s="52"/>
      <c r="N34" s="52"/>
      <c r="O34" s="52"/>
    </row>
    <row r="35" spans="1:15" x14ac:dyDescent="0.3">
      <c r="A35" s="97" t="s">
        <v>86</v>
      </c>
      <c r="B35" s="92">
        <v>3</v>
      </c>
      <c r="C35" s="92">
        <v>1</v>
      </c>
      <c r="D35" s="93">
        <f t="shared" si="0"/>
        <v>3</v>
      </c>
      <c r="E35" s="92">
        <f>E17</f>
        <v>1</v>
      </c>
      <c r="F35" s="94">
        <f>D35*E35</f>
        <v>3</v>
      </c>
      <c r="G35" s="107">
        <f>+F35*0.05</f>
        <v>0.15000000000000002</v>
      </c>
      <c r="H35" s="107">
        <f>+F35*0.1</f>
        <v>0.30000000000000004</v>
      </c>
      <c r="I35" s="57">
        <f>+$L$6*F35+$L$5*G35+$L$7*H35</f>
        <v>399.57</v>
      </c>
      <c r="J35" s="21"/>
      <c r="K35" s="53"/>
      <c r="L35" s="52"/>
      <c r="M35" s="52"/>
      <c r="N35" s="52"/>
      <c r="O35" s="52"/>
    </row>
    <row r="36" spans="1:15" ht="15.5" x14ac:dyDescent="0.3">
      <c r="A36" s="97" t="s">
        <v>87</v>
      </c>
      <c r="B36" s="92">
        <v>12</v>
      </c>
      <c r="C36" s="92">
        <v>1</v>
      </c>
      <c r="D36" s="93">
        <f t="shared" si="0"/>
        <v>12</v>
      </c>
      <c r="E36" s="92">
        <f>E17</f>
        <v>1</v>
      </c>
      <c r="F36" s="94">
        <f t="shared" ref="F36:F42" si="9">D36*E36</f>
        <v>12</v>
      </c>
      <c r="G36" s="107">
        <f t="shared" ref="G36:G42" si="10">+F36*0.05</f>
        <v>0.60000000000000009</v>
      </c>
      <c r="H36" s="107">
        <f t="shared" ref="H36:H42" si="11">+F36*0.1</f>
        <v>1.2000000000000002</v>
      </c>
      <c r="I36" s="57">
        <f>+$L$6*F36+$L$5*G36+$L$7*H36</f>
        <v>1598.28</v>
      </c>
      <c r="J36" s="21"/>
      <c r="K36" s="52"/>
      <c r="L36" s="52"/>
      <c r="M36" s="52"/>
      <c r="N36" s="52"/>
      <c r="O36" s="52"/>
    </row>
    <row r="37" spans="1:15" x14ac:dyDescent="0.3">
      <c r="A37" s="97" t="s">
        <v>88</v>
      </c>
      <c r="B37" s="92">
        <v>3</v>
      </c>
      <c r="C37" s="92">
        <v>1</v>
      </c>
      <c r="D37" s="93">
        <f t="shared" si="0"/>
        <v>3</v>
      </c>
      <c r="E37" s="92">
        <f>E17</f>
        <v>1</v>
      </c>
      <c r="F37" s="94">
        <f t="shared" si="9"/>
        <v>3</v>
      </c>
      <c r="G37" s="107">
        <f t="shared" si="10"/>
        <v>0.15000000000000002</v>
      </c>
      <c r="H37" s="107">
        <f t="shared" si="11"/>
        <v>0.30000000000000004</v>
      </c>
      <c r="I37" s="57">
        <f>+$L$6*F37+$L$5*G37+$L$7*H37</f>
        <v>399.57</v>
      </c>
      <c r="J37" s="21"/>
      <c r="K37" s="53"/>
      <c r="L37" s="52"/>
      <c r="M37" s="52"/>
      <c r="N37" s="52"/>
      <c r="O37" s="52"/>
    </row>
    <row r="38" spans="1:15" x14ac:dyDescent="0.3">
      <c r="A38" s="97" t="s">
        <v>89</v>
      </c>
      <c r="B38" s="96"/>
      <c r="C38" s="96"/>
      <c r="D38" s="93"/>
      <c r="E38" s="96"/>
      <c r="F38" s="94"/>
      <c r="G38" s="107"/>
      <c r="H38" s="107"/>
      <c r="I38" s="57"/>
      <c r="J38" s="21"/>
      <c r="K38" s="52"/>
      <c r="L38" s="52"/>
      <c r="M38" s="52"/>
      <c r="N38" s="52"/>
      <c r="O38" s="52"/>
    </row>
    <row r="39" spans="1:15" ht="15.5" x14ac:dyDescent="0.3">
      <c r="A39" s="114" t="s">
        <v>90</v>
      </c>
      <c r="B39" s="92">
        <v>3</v>
      </c>
      <c r="C39" s="92">
        <v>52</v>
      </c>
      <c r="D39" s="93">
        <f t="shared" si="0"/>
        <v>156</v>
      </c>
      <c r="E39" s="92">
        <f>E8</f>
        <v>37</v>
      </c>
      <c r="F39" s="94">
        <f t="shared" si="9"/>
        <v>5772</v>
      </c>
      <c r="G39" s="86">
        <f t="shared" si="10"/>
        <v>288.60000000000002</v>
      </c>
      <c r="H39" s="86">
        <f t="shared" si="11"/>
        <v>577.20000000000005</v>
      </c>
      <c r="I39" s="57">
        <f>+$L$6*F39+$L$5*G39+$L$7*H39</f>
        <v>768772.67999999993</v>
      </c>
      <c r="J39" s="21"/>
      <c r="K39" s="53"/>
      <c r="L39" s="52"/>
      <c r="M39" s="52"/>
      <c r="N39" s="52"/>
      <c r="O39" s="52"/>
    </row>
    <row r="40" spans="1:15" ht="15.5" x14ac:dyDescent="0.3">
      <c r="A40" s="115" t="s">
        <v>91</v>
      </c>
      <c r="B40" s="106">
        <v>3</v>
      </c>
      <c r="C40" s="106">
        <v>1</v>
      </c>
      <c r="D40" s="93">
        <f t="shared" si="0"/>
        <v>3</v>
      </c>
      <c r="E40" s="92">
        <f>E17</f>
        <v>1</v>
      </c>
      <c r="F40" s="94">
        <f t="shared" si="9"/>
        <v>3</v>
      </c>
      <c r="G40" s="107">
        <f t="shared" si="10"/>
        <v>0.15000000000000002</v>
      </c>
      <c r="H40" s="107">
        <f t="shared" si="11"/>
        <v>0.30000000000000004</v>
      </c>
      <c r="I40" s="57">
        <f>+$L$6*F40+$L$5*G40+$L$7*H40</f>
        <v>399.57</v>
      </c>
      <c r="J40" s="21"/>
      <c r="K40" s="53"/>
      <c r="L40" s="52"/>
      <c r="M40" s="52"/>
      <c r="N40" s="52"/>
      <c r="O40" s="52"/>
    </row>
    <row r="41" spans="1:15" ht="15.5" x14ac:dyDescent="0.3">
      <c r="A41" s="116" t="s">
        <v>92</v>
      </c>
      <c r="B41" s="92">
        <v>3</v>
      </c>
      <c r="C41" s="92">
        <v>1</v>
      </c>
      <c r="D41" s="93">
        <f t="shared" si="0"/>
        <v>3</v>
      </c>
      <c r="E41" s="85">
        <f>E17</f>
        <v>1</v>
      </c>
      <c r="F41" s="94">
        <f t="shared" si="9"/>
        <v>3</v>
      </c>
      <c r="G41" s="107">
        <f t="shared" si="10"/>
        <v>0.15000000000000002</v>
      </c>
      <c r="H41" s="107">
        <f t="shared" si="11"/>
        <v>0.30000000000000004</v>
      </c>
      <c r="I41" s="57">
        <f>+$L$6*F41+$L$5*G41+$L$7*H41</f>
        <v>399.57</v>
      </c>
      <c r="J41" s="21"/>
      <c r="K41" s="52"/>
      <c r="L41" s="52"/>
      <c r="M41" s="52"/>
      <c r="N41" s="52"/>
      <c r="O41" s="52"/>
    </row>
    <row r="42" spans="1:15" ht="15.5" x14ac:dyDescent="0.3">
      <c r="A42" s="97" t="s">
        <v>93</v>
      </c>
      <c r="B42" s="92">
        <v>0.25</v>
      </c>
      <c r="C42" s="92">
        <v>2</v>
      </c>
      <c r="D42" s="93">
        <f t="shared" si="0"/>
        <v>0.5</v>
      </c>
      <c r="E42" s="16">
        <f>E8</f>
        <v>37</v>
      </c>
      <c r="F42" s="94">
        <f t="shared" si="9"/>
        <v>18.5</v>
      </c>
      <c r="G42" s="107">
        <f t="shared" si="10"/>
        <v>0.92500000000000004</v>
      </c>
      <c r="H42" s="107">
        <f t="shared" si="11"/>
        <v>1.85</v>
      </c>
      <c r="I42" s="57">
        <f>+$L$6*F42+$L$5*G42+$L$7*H42</f>
        <v>2464.0149999999999</v>
      </c>
      <c r="J42" s="21"/>
      <c r="K42" s="52"/>
      <c r="L42" s="52"/>
      <c r="M42" s="52"/>
      <c r="N42" s="52"/>
      <c r="O42" s="52"/>
    </row>
    <row r="43" spans="1:15" x14ac:dyDescent="0.3">
      <c r="A43" s="97" t="s">
        <v>94</v>
      </c>
      <c r="B43" s="92" t="s">
        <v>3</v>
      </c>
      <c r="C43" s="92"/>
      <c r="D43" s="93"/>
      <c r="E43" s="16"/>
      <c r="F43" s="94"/>
      <c r="G43" s="107"/>
      <c r="H43" s="107"/>
      <c r="I43" s="57"/>
      <c r="J43" s="21"/>
      <c r="K43" s="53"/>
      <c r="L43" s="52"/>
      <c r="M43" s="52"/>
      <c r="N43" s="52"/>
      <c r="O43" s="52"/>
    </row>
    <row r="44" spans="1:15" x14ac:dyDescent="0.3">
      <c r="A44" s="117" t="s">
        <v>95</v>
      </c>
      <c r="B44" s="17"/>
      <c r="C44" s="17"/>
      <c r="D44" s="17"/>
      <c r="E44" s="17"/>
      <c r="F44" s="173">
        <f>SUM(F33:H43)</f>
        <v>6686.6750000000002</v>
      </c>
      <c r="G44" s="173"/>
      <c r="H44" s="173"/>
      <c r="I44" s="112">
        <f>SUM(I33:I43)</f>
        <v>774433.25499999989</v>
      </c>
      <c r="J44" s="27"/>
      <c r="K44" s="26"/>
      <c r="L44" s="52"/>
      <c r="M44" s="52"/>
      <c r="N44" s="52"/>
      <c r="O44" s="52"/>
    </row>
    <row r="45" spans="1:15" ht="15" x14ac:dyDescent="0.3">
      <c r="A45" s="118" t="s">
        <v>96</v>
      </c>
      <c r="B45" s="119"/>
      <c r="C45" s="119"/>
      <c r="D45" s="119"/>
      <c r="E45" s="119"/>
      <c r="F45" s="175">
        <f>ROUND(SUM(F44+F32), -1)</f>
        <v>9700</v>
      </c>
      <c r="G45" s="175"/>
      <c r="H45" s="175"/>
      <c r="I45" s="120">
        <f>ROUND((I44+I32),-4)</f>
        <v>1120000</v>
      </c>
      <c r="J45" s="23"/>
      <c r="K45" s="52"/>
      <c r="L45" s="52"/>
      <c r="M45" s="52"/>
      <c r="N45" s="52"/>
      <c r="O45" s="52"/>
    </row>
    <row r="46" spans="1:15" ht="15" x14ac:dyDescent="0.3">
      <c r="A46" s="13" t="s">
        <v>97</v>
      </c>
      <c r="B46" s="17"/>
      <c r="C46" s="17"/>
      <c r="D46" s="17"/>
      <c r="E46" s="17"/>
      <c r="F46" s="17"/>
      <c r="G46" s="121"/>
      <c r="H46" s="113"/>
      <c r="I46" s="122">
        <v>335000</v>
      </c>
      <c r="J46" s="23"/>
      <c r="K46" s="52"/>
      <c r="L46" s="52"/>
      <c r="M46" s="52"/>
      <c r="N46" s="52"/>
      <c r="O46" s="52"/>
    </row>
    <row r="47" spans="1:15" ht="15" x14ac:dyDescent="0.3">
      <c r="A47" s="12" t="s">
        <v>98</v>
      </c>
      <c r="B47" s="17"/>
      <c r="C47" s="17"/>
      <c r="D47" s="17"/>
      <c r="E47" s="17"/>
      <c r="F47" s="17"/>
      <c r="G47" s="121"/>
      <c r="H47" s="113"/>
      <c r="I47" s="122">
        <f>ROUND(I45+I46,-4)</f>
        <v>1460000</v>
      </c>
      <c r="J47" s="23"/>
      <c r="K47" s="52"/>
      <c r="L47" s="52"/>
      <c r="M47" s="52"/>
      <c r="N47" s="52"/>
      <c r="O47" s="52"/>
    </row>
    <row r="48" spans="1:15" x14ac:dyDescent="0.3">
      <c r="A48" s="123"/>
      <c r="B48" s="124"/>
      <c r="C48" s="124"/>
      <c r="D48" s="124"/>
      <c r="E48" s="124"/>
      <c r="F48" s="124"/>
      <c r="G48" s="124"/>
      <c r="H48" s="125"/>
      <c r="I48" s="126"/>
      <c r="J48" s="23"/>
      <c r="K48" s="52"/>
      <c r="L48" s="52"/>
      <c r="M48" s="52"/>
      <c r="N48" s="52"/>
      <c r="O48" s="52"/>
    </row>
    <row r="49" spans="1:15" x14ac:dyDescent="0.3">
      <c r="A49" s="127" t="s">
        <v>2</v>
      </c>
      <c r="B49" s="128"/>
      <c r="C49" s="128"/>
      <c r="D49" s="128"/>
      <c r="E49" s="128"/>
      <c r="F49" s="129"/>
      <c r="G49" s="125"/>
      <c r="H49" s="125"/>
      <c r="I49" s="126"/>
      <c r="J49" s="23"/>
      <c r="K49" s="52"/>
      <c r="L49" s="52"/>
      <c r="M49" s="52"/>
      <c r="N49" s="52"/>
      <c r="O49" s="52"/>
    </row>
    <row r="50" spans="1:15" x14ac:dyDescent="0.3">
      <c r="A50" s="169" t="s">
        <v>99</v>
      </c>
      <c r="B50" s="169"/>
      <c r="C50" s="169"/>
      <c r="D50" s="169"/>
      <c r="E50" s="169"/>
      <c r="F50" s="169"/>
      <c r="G50" s="169"/>
      <c r="H50" s="169"/>
      <c r="I50" s="169"/>
      <c r="J50" s="23"/>
      <c r="K50" s="52"/>
      <c r="L50" s="52"/>
      <c r="M50" s="52"/>
      <c r="N50" s="52"/>
      <c r="O50" s="52"/>
    </row>
    <row r="51" spans="1:15" x14ac:dyDescent="0.3">
      <c r="A51" s="169" t="s">
        <v>100</v>
      </c>
      <c r="B51" s="169"/>
      <c r="C51" s="169"/>
      <c r="D51" s="169"/>
      <c r="E51" s="169"/>
      <c r="F51" s="169"/>
      <c r="G51" s="169"/>
      <c r="H51" s="169"/>
      <c r="I51" s="169"/>
      <c r="J51" s="23"/>
      <c r="K51" s="52"/>
      <c r="L51" s="52"/>
      <c r="M51" s="52"/>
      <c r="N51" s="52"/>
      <c r="O51" s="52"/>
    </row>
    <row r="52" spans="1:15" x14ac:dyDescent="0.3">
      <c r="A52" s="169" t="s">
        <v>101</v>
      </c>
      <c r="B52" s="169"/>
      <c r="C52" s="169"/>
      <c r="D52" s="169"/>
      <c r="E52" s="169"/>
      <c r="F52" s="169"/>
      <c r="G52" s="169"/>
      <c r="H52" s="169"/>
      <c r="I52" s="169"/>
      <c r="J52" s="23"/>
      <c r="K52" s="53"/>
      <c r="L52" s="52"/>
      <c r="M52" s="52"/>
      <c r="N52" s="52"/>
      <c r="O52" s="52"/>
    </row>
    <row r="53" spans="1:15" x14ac:dyDescent="0.3">
      <c r="A53" s="169" t="s">
        <v>102</v>
      </c>
      <c r="B53" s="169"/>
      <c r="C53" s="169"/>
      <c r="D53" s="169"/>
      <c r="E53" s="169"/>
      <c r="F53" s="169"/>
      <c r="G53" s="169"/>
      <c r="H53" s="169"/>
      <c r="I53" s="169"/>
      <c r="J53" s="24"/>
      <c r="K53" s="24"/>
      <c r="L53" s="62"/>
      <c r="M53" s="52"/>
      <c r="N53" s="52"/>
      <c r="O53" s="52"/>
    </row>
    <row r="54" spans="1:15" x14ac:dyDescent="0.3">
      <c r="A54" s="169" t="s">
        <v>103</v>
      </c>
      <c r="B54" s="169"/>
      <c r="C54" s="169"/>
      <c r="D54" s="169"/>
      <c r="E54" s="169"/>
      <c r="F54" s="169"/>
      <c r="G54" s="169"/>
      <c r="H54" s="169"/>
      <c r="I54" s="169"/>
      <c r="J54" s="25"/>
      <c r="K54" s="52"/>
      <c r="L54" s="52"/>
      <c r="M54" s="52"/>
      <c r="N54" s="52"/>
      <c r="O54" s="52"/>
    </row>
    <row r="55" spans="1:15" x14ac:dyDescent="0.3">
      <c r="A55" s="169" t="s">
        <v>104</v>
      </c>
      <c r="B55" s="169"/>
      <c r="C55" s="169"/>
      <c r="D55" s="169"/>
      <c r="E55" s="169"/>
      <c r="F55" s="169"/>
      <c r="G55" s="169"/>
      <c r="H55" s="169"/>
      <c r="I55" s="169"/>
      <c r="J55" s="25"/>
      <c r="K55" s="25"/>
      <c r="L55" s="52"/>
      <c r="M55" s="52"/>
      <c r="N55" s="52"/>
      <c r="O55" s="52"/>
    </row>
    <row r="56" spans="1:15" x14ac:dyDescent="0.3">
      <c r="A56" s="165" t="s">
        <v>105</v>
      </c>
      <c r="B56" s="165"/>
      <c r="C56" s="165"/>
      <c r="D56" s="165"/>
      <c r="E56" s="165"/>
      <c r="F56" s="165"/>
      <c r="G56" s="165"/>
      <c r="H56" s="165"/>
      <c r="I56" s="165"/>
    </row>
    <row r="57" spans="1:15" x14ac:dyDescent="0.3">
      <c r="A57" s="165" t="s">
        <v>106</v>
      </c>
      <c r="B57" s="165"/>
      <c r="C57" s="165"/>
      <c r="D57" s="165"/>
      <c r="E57" s="165"/>
      <c r="F57" s="165"/>
      <c r="G57" s="165"/>
      <c r="H57" s="165"/>
      <c r="I57" s="165"/>
    </row>
    <row r="58" spans="1:15" ht="28.5" customHeight="1" x14ac:dyDescent="0.3">
      <c r="A58" s="165" t="s">
        <v>107</v>
      </c>
      <c r="B58" s="165"/>
      <c r="C58" s="165"/>
      <c r="D58" s="165"/>
      <c r="E58" s="165"/>
      <c r="F58" s="165"/>
      <c r="G58" s="165"/>
      <c r="H58" s="165"/>
      <c r="I58" s="165"/>
    </row>
    <row r="59" spans="1:15" x14ac:dyDescent="0.3">
      <c r="A59" s="165" t="s">
        <v>108</v>
      </c>
      <c r="B59" s="165"/>
      <c r="C59" s="165"/>
      <c r="D59" s="165"/>
      <c r="E59" s="165"/>
      <c r="F59" s="165"/>
      <c r="G59" s="165"/>
      <c r="H59" s="165"/>
      <c r="I59" s="165"/>
    </row>
    <row r="60" spans="1:15" x14ac:dyDescent="0.3">
      <c r="A60" s="165" t="s">
        <v>109</v>
      </c>
      <c r="B60" s="165"/>
      <c r="C60" s="165"/>
      <c r="D60" s="165"/>
      <c r="E60" s="165"/>
      <c r="F60" s="165"/>
      <c r="G60" s="165"/>
      <c r="H60" s="165"/>
      <c r="I60" s="165"/>
    </row>
    <row r="61" spans="1:15" x14ac:dyDescent="0.3">
      <c r="A61" s="165" t="s">
        <v>110</v>
      </c>
      <c r="B61" s="165"/>
      <c r="C61" s="165"/>
      <c r="D61" s="165"/>
      <c r="E61" s="165"/>
      <c r="F61" s="165"/>
      <c r="G61" s="165"/>
      <c r="H61" s="165"/>
      <c r="I61" s="165"/>
    </row>
    <row r="62" spans="1:15" x14ac:dyDescent="0.3">
      <c r="A62" s="165" t="s">
        <v>111</v>
      </c>
      <c r="B62" s="165"/>
      <c r="C62" s="165"/>
      <c r="D62" s="165"/>
      <c r="E62" s="165"/>
      <c r="F62" s="165"/>
      <c r="G62" s="165"/>
      <c r="H62" s="165"/>
      <c r="I62" s="165"/>
    </row>
    <row r="63" spans="1:15" x14ac:dyDescent="0.3">
      <c r="A63" s="165" t="s">
        <v>112</v>
      </c>
      <c r="B63" s="165"/>
      <c r="C63" s="165"/>
      <c r="D63" s="165"/>
      <c r="E63" s="165"/>
      <c r="F63" s="165"/>
      <c r="G63" s="165"/>
      <c r="H63" s="165"/>
      <c r="I63" s="165"/>
    </row>
    <row r="64" spans="1:15" x14ac:dyDescent="0.3">
      <c r="A64" s="165" t="s">
        <v>113</v>
      </c>
      <c r="B64" s="165"/>
      <c r="C64" s="165"/>
      <c r="D64" s="165"/>
      <c r="E64" s="165"/>
      <c r="F64" s="165"/>
      <c r="G64" s="165"/>
      <c r="H64" s="165"/>
      <c r="I64" s="165"/>
    </row>
    <row r="65" spans="1:12" x14ac:dyDescent="0.3">
      <c r="A65" s="165" t="s">
        <v>114</v>
      </c>
      <c r="B65" s="165"/>
      <c r="C65" s="165"/>
      <c r="D65" s="165"/>
      <c r="E65" s="165"/>
      <c r="F65" s="165"/>
      <c r="G65" s="165"/>
      <c r="H65" s="165"/>
      <c r="I65" s="165"/>
    </row>
    <row r="66" spans="1:12" x14ac:dyDescent="0.3">
      <c r="A66" s="165" t="s">
        <v>115</v>
      </c>
      <c r="B66" s="165"/>
      <c r="C66" s="165"/>
      <c r="D66" s="165"/>
      <c r="E66" s="165"/>
      <c r="F66" s="165"/>
      <c r="G66" s="165"/>
      <c r="H66" s="165"/>
      <c r="I66" s="165"/>
    </row>
    <row r="67" spans="1:12" x14ac:dyDescent="0.3">
      <c r="A67" s="165" t="s">
        <v>116</v>
      </c>
      <c r="B67" s="165"/>
      <c r="C67" s="165"/>
      <c r="D67" s="165"/>
      <c r="E67" s="165"/>
      <c r="F67" s="165"/>
      <c r="G67" s="165"/>
      <c r="H67" s="165"/>
      <c r="I67" s="165"/>
    </row>
    <row r="69" spans="1:12" x14ac:dyDescent="0.3">
      <c r="A69" s="170" t="s">
        <v>119</v>
      </c>
      <c r="B69" s="170"/>
      <c r="C69" s="170"/>
      <c r="D69" s="170"/>
      <c r="E69" s="170"/>
      <c r="F69" s="170"/>
      <c r="G69" s="170"/>
      <c r="H69" s="170"/>
      <c r="I69" s="170"/>
    </row>
    <row r="71" spans="1:12" ht="78" x14ac:dyDescent="0.3">
      <c r="A71" s="119" t="s">
        <v>4</v>
      </c>
      <c r="B71" s="59" t="s">
        <v>120</v>
      </c>
      <c r="C71" s="59" t="s">
        <v>121</v>
      </c>
      <c r="D71" s="87" t="s">
        <v>122</v>
      </c>
      <c r="E71" s="87" t="s">
        <v>123</v>
      </c>
      <c r="F71" s="87" t="s">
        <v>52</v>
      </c>
      <c r="G71" s="87" t="s">
        <v>53</v>
      </c>
      <c r="H71" s="87" t="s">
        <v>124</v>
      </c>
      <c r="I71" s="87" t="s">
        <v>55</v>
      </c>
      <c r="J71" s="124"/>
      <c r="K71" s="124"/>
      <c r="L71" s="124"/>
    </row>
    <row r="72" spans="1:12" ht="15.5" x14ac:dyDescent="0.3">
      <c r="A72" s="95" t="s">
        <v>125</v>
      </c>
      <c r="B72" s="92">
        <v>40</v>
      </c>
      <c r="C72" s="92">
        <v>1</v>
      </c>
      <c r="D72" s="93">
        <f>B72*C72</f>
        <v>40</v>
      </c>
      <c r="E72" s="92">
        <v>1</v>
      </c>
      <c r="F72" s="130">
        <f>E72*D72</f>
        <v>40</v>
      </c>
      <c r="G72" s="16">
        <f>F72*0.05</f>
        <v>2</v>
      </c>
      <c r="H72" s="16">
        <f>F72*0.1</f>
        <v>4</v>
      </c>
      <c r="I72" s="57">
        <f>$L$74*F72+$L$73*G72+$L$75*H72</f>
        <v>2217.84</v>
      </c>
      <c r="J72" s="124"/>
      <c r="K72" s="171" t="s">
        <v>149</v>
      </c>
      <c r="L72" s="172"/>
    </row>
    <row r="73" spans="1:12" ht="15.5" x14ac:dyDescent="0.3">
      <c r="A73" s="91" t="s">
        <v>127</v>
      </c>
      <c r="B73" s="92">
        <v>2</v>
      </c>
      <c r="C73" s="92">
        <v>1</v>
      </c>
      <c r="D73" s="93">
        <f t="shared" ref="D73:D86" si="12">B73*C73</f>
        <v>2</v>
      </c>
      <c r="E73" s="92">
        <v>22.6</v>
      </c>
      <c r="F73" s="131">
        <f t="shared" ref="F73:F86" si="13">E73*D73</f>
        <v>45.2</v>
      </c>
      <c r="G73" s="16">
        <f t="shared" ref="G73:G86" si="14">F73*0.05</f>
        <v>2.2600000000000002</v>
      </c>
      <c r="H73" s="132">
        <f t="shared" ref="H73:H86" si="15">F73*0.1</f>
        <v>4.5200000000000005</v>
      </c>
      <c r="I73" s="57">
        <f>$L$74*F73+$L$73*G73+$L$75*H73</f>
        <v>2506.1592000000001</v>
      </c>
      <c r="J73" s="124"/>
      <c r="K73" s="133" t="s">
        <v>128</v>
      </c>
      <c r="L73" s="134">
        <v>66.62</v>
      </c>
    </row>
    <row r="74" spans="1:12" ht="15.5" x14ac:dyDescent="0.3">
      <c r="A74" s="95" t="s">
        <v>129</v>
      </c>
      <c r="B74" s="92">
        <v>40</v>
      </c>
      <c r="C74" s="92">
        <v>1</v>
      </c>
      <c r="D74" s="93">
        <f t="shared" si="12"/>
        <v>40</v>
      </c>
      <c r="E74" s="9">
        <f>E73</f>
        <v>22.6</v>
      </c>
      <c r="F74" s="130">
        <f t="shared" si="13"/>
        <v>904</v>
      </c>
      <c r="G74" s="135">
        <f t="shared" si="14"/>
        <v>45.2</v>
      </c>
      <c r="H74" s="135">
        <f t="shared" si="15"/>
        <v>90.4</v>
      </c>
      <c r="I74" s="57">
        <f>$L$74*F74+$L$73*G74+$L$75*H74</f>
        <v>50123.183999999994</v>
      </c>
      <c r="J74" s="124"/>
      <c r="K74" s="133" t="s">
        <v>15</v>
      </c>
      <c r="L74" s="134">
        <v>49.44</v>
      </c>
    </row>
    <row r="75" spans="1:12" x14ac:dyDescent="0.3">
      <c r="A75" s="95" t="s">
        <v>130</v>
      </c>
      <c r="B75" s="98"/>
      <c r="C75" s="98"/>
      <c r="D75" s="93"/>
      <c r="E75" s="98"/>
      <c r="F75" s="130"/>
      <c r="G75" s="16"/>
      <c r="H75" s="16"/>
      <c r="I75" s="57"/>
      <c r="J75" s="124"/>
      <c r="K75" s="133" t="s">
        <v>14</v>
      </c>
      <c r="L75" s="134">
        <v>26.75</v>
      </c>
    </row>
    <row r="76" spans="1:12" x14ac:dyDescent="0.3">
      <c r="A76" s="136" t="s">
        <v>131</v>
      </c>
      <c r="B76" s="92">
        <v>1</v>
      </c>
      <c r="C76" s="92">
        <v>1</v>
      </c>
      <c r="D76" s="93">
        <f t="shared" si="12"/>
        <v>1</v>
      </c>
      <c r="E76" s="92">
        <v>1</v>
      </c>
      <c r="F76" s="130">
        <f t="shared" si="13"/>
        <v>1</v>
      </c>
      <c r="G76" s="16">
        <f t="shared" si="14"/>
        <v>0.05</v>
      </c>
      <c r="H76" s="16">
        <f t="shared" si="15"/>
        <v>0.1</v>
      </c>
      <c r="I76" s="57">
        <f>$L$74*F76+$L$73*G76+$L$75*H76</f>
        <v>55.445999999999998</v>
      </c>
      <c r="J76" s="124"/>
      <c r="K76" s="124"/>
      <c r="L76" s="124"/>
    </row>
    <row r="77" spans="1:12" x14ac:dyDescent="0.3">
      <c r="A77" s="136" t="s">
        <v>132</v>
      </c>
      <c r="B77" s="92">
        <v>1</v>
      </c>
      <c r="C77" s="92">
        <v>1</v>
      </c>
      <c r="D77" s="93">
        <f t="shared" si="12"/>
        <v>1</v>
      </c>
      <c r="E77" s="92">
        <v>1</v>
      </c>
      <c r="F77" s="130">
        <f t="shared" si="13"/>
        <v>1</v>
      </c>
      <c r="G77" s="16">
        <f t="shared" si="14"/>
        <v>0.05</v>
      </c>
      <c r="H77" s="16">
        <f t="shared" si="15"/>
        <v>0.1</v>
      </c>
      <c r="I77" s="57">
        <f>$L$74*F77+$L$73*G77+$L$75*H77</f>
        <v>55.445999999999998</v>
      </c>
      <c r="J77" s="124"/>
      <c r="K77" s="124"/>
      <c r="L77" s="124"/>
    </row>
    <row r="78" spans="1:12" x14ac:dyDescent="0.3">
      <c r="A78" s="136" t="s">
        <v>133</v>
      </c>
      <c r="B78" s="92">
        <v>1</v>
      </c>
      <c r="C78" s="92">
        <v>1</v>
      </c>
      <c r="D78" s="93">
        <f t="shared" si="12"/>
        <v>1</v>
      </c>
      <c r="E78" s="92">
        <v>1</v>
      </c>
      <c r="F78" s="130">
        <f t="shared" si="13"/>
        <v>1</v>
      </c>
      <c r="G78" s="16">
        <f t="shared" si="14"/>
        <v>0.05</v>
      </c>
      <c r="H78" s="16">
        <f t="shared" si="15"/>
        <v>0.1</v>
      </c>
      <c r="I78" s="57">
        <f>$L$74*F78+$L$73*G78+$L$75*H78</f>
        <v>55.445999999999998</v>
      </c>
      <c r="J78" s="124"/>
      <c r="K78" s="124"/>
      <c r="L78" s="124"/>
    </row>
    <row r="79" spans="1:12" x14ac:dyDescent="0.3">
      <c r="A79" s="136" t="s">
        <v>134</v>
      </c>
      <c r="B79" s="92">
        <v>1</v>
      </c>
      <c r="C79" s="92">
        <v>1</v>
      </c>
      <c r="D79" s="93">
        <f t="shared" si="12"/>
        <v>1</v>
      </c>
      <c r="E79" s="92">
        <v>1</v>
      </c>
      <c r="F79" s="130">
        <f t="shared" si="13"/>
        <v>1</v>
      </c>
      <c r="G79" s="16">
        <f t="shared" si="14"/>
        <v>0.05</v>
      </c>
      <c r="H79" s="16">
        <f t="shared" si="15"/>
        <v>0.1</v>
      </c>
      <c r="I79" s="57">
        <f>$L$74*F79+$L$73*G79+$L$75*H79</f>
        <v>55.445999999999998</v>
      </c>
      <c r="J79" s="124"/>
      <c r="K79" s="124"/>
      <c r="L79" s="124"/>
    </row>
    <row r="80" spans="1:12" x14ac:dyDescent="0.3">
      <c r="A80" s="114" t="s">
        <v>73</v>
      </c>
      <c r="B80" s="92" t="s">
        <v>3</v>
      </c>
      <c r="C80" s="92"/>
      <c r="D80" s="93"/>
      <c r="E80" s="92"/>
      <c r="F80" s="130"/>
      <c r="G80" s="16"/>
      <c r="H80" s="16"/>
      <c r="I80" s="57"/>
      <c r="J80" s="124"/>
      <c r="K80" s="124"/>
      <c r="L80" s="124"/>
    </row>
    <row r="81" spans="1:12" x14ac:dyDescent="0.3">
      <c r="A81" s="136" t="s">
        <v>135</v>
      </c>
      <c r="B81" s="92">
        <v>1</v>
      </c>
      <c r="C81" s="92">
        <v>1</v>
      </c>
      <c r="D81" s="93">
        <f t="shared" si="12"/>
        <v>1</v>
      </c>
      <c r="E81" s="92">
        <f>E72</f>
        <v>1</v>
      </c>
      <c r="F81" s="130">
        <f t="shared" si="13"/>
        <v>1</v>
      </c>
      <c r="G81" s="16">
        <f t="shared" si="14"/>
        <v>0.05</v>
      </c>
      <c r="H81" s="16">
        <f t="shared" si="15"/>
        <v>0.1</v>
      </c>
      <c r="I81" s="57">
        <f>$L$74*F81+$L$73*G81+$L$75*H81</f>
        <v>55.445999999999998</v>
      </c>
      <c r="J81" s="124"/>
      <c r="K81" s="124"/>
      <c r="L81" s="124"/>
    </row>
    <row r="82" spans="1:12" x14ac:dyDescent="0.3">
      <c r="A82" s="114" t="s">
        <v>136</v>
      </c>
      <c r="B82" s="92">
        <v>4</v>
      </c>
      <c r="C82" s="92">
        <v>1</v>
      </c>
      <c r="D82" s="93">
        <f t="shared" si="12"/>
        <v>4</v>
      </c>
      <c r="E82" s="92">
        <v>1</v>
      </c>
      <c r="F82" s="130">
        <f t="shared" si="13"/>
        <v>4</v>
      </c>
      <c r="G82" s="16">
        <f t="shared" si="14"/>
        <v>0.2</v>
      </c>
      <c r="H82" s="16">
        <f t="shared" si="15"/>
        <v>0.4</v>
      </c>
      <c r="I82" s="57">
        <f>$L$74*F82+$L$73*G82+$L$75*H82</f>
        <v>221.78399999999999</v>
      </c>
      <c r="J82" s="124"/>
      <c r="K82" s="124"/>
      <c r="L82" s="124"/>
    </row>
    <row r="83" spans="1:12" ht="15.5" x14ac:dyDescent="0.3">
      <c r="A83" s="137" t="s">
        <v>137</v>
      </c>
      <c r="B83" s="92">
        <v>2</v>
      </c>
      <c r="C83" s="92">
        <v>1</v>
      </c>
      <c r="D83" s="93">
        <f t="shared" si="12"/>
        <v>2</v>
      </c>
      <c r="E83" s="109">
        <v>22.6</v>
      </c>
      <c r="F83" s="131">
        <f t="shared" si="13"/>
        <v>45.2</v>
      </c>
      <c r="G83" s="132">
        <f t="shared" si="14"/>
        <v>2.2600000000000002</v>
      </c>
      <c r="H83" s="132">
        <f t="shared" si="15"/>
        <v>4.5200000000000005</v>
      </c>
      <c r="I83" s="57">
        <f>$L$74*F83+$L$73*G83+$L$75*H83</f>
        <v>2506.1592000000001</v>
      </c>
      <c r="J83" s="124"/>
      <c r="K83" s="124"/>
      <c r="L83" s="124"/>
    </row>
    <row r="84" spans="1:12" x14ac:dyDescent="0.3">
      <c r="A84" s="136" t="s">
        <v>138</v>
      </c>
      <c r="B84" s="92">
        <v>4</v>
      </c>
      <c r="C84" s="92">
        <v>2</v>
      </c>
      <c r="D84" s="93">
        <f t="shared" si="12"/>
        <v>8</v>
      </c>
      <c r="E84" s="92">
        <v>37</v>
      </c>
      <c r="F84" s="130">
        <f t="shared" si="13"/>
        <v>296</v>
      </c>
      <c r="G84" s="135">
        <f t="shared" si="14"/>
        <v>14.8</v>
      </c>
      <c r="H84" s="135">
        <f t="shared" si="15"/>
        <v>29.6</v>
      </c>
      <c r="I84" s="57">
        <f>$L$74*F84+$L$73*G84+$L$75*H84</f>
        <v>16412.016</v>
      </c>
      <c r="J84" s="124"/>
      <c r="K84" s="124"/>
      <c r="L84" s="124"/>
    </row>
    <row r="85" spans="1:12" x14ac:dyDescent="0.3">
      <c r="A85" s="136" t="s">
        <v>139</v>
      </c>
      <c r="B85" s="92" t="s">
        <v>3</v>
      </c>
      <c r="C85" s="92"/>
      <c r="D85" s="93"/>
      <c r="E85" s="92"/>
      <c r="F85" s="130"/>
      <c r="G85" s="16"/>
      <c r="H85" s="16"/>
      <c r="I85" s="57"/>
      <c r="J85" s="124"/>
      <c r="K85" s="124"/>
      <c r="L85" s="124"/>
    </row>
    <row r="86" spans="1:12" ht="15.5" x14ac:dyDescent="0.3">
      <c r="A86" s="114" t="s">
        <v>140</v>
      </c>
      <c r="B86" s="92">
        <v>4</v>
      </c>
      <c r="C86" s="92">
        <v>1</v>
      </c>
      <c r="D86" s="93">
        <f t="shared" si="12"/>
        <v>4</v>
      </c>
      <c r="E86" s="109">
        <v>1.9</v>
      </c>
      <c r="F86" s="130">
        <f t="shared" si="13"/>
        <v>7.6</v>
      </c>
      <c r="G86" s="16">
        <f t="shared" si="14"/>
        <v>0.38</v>
      </c>
      <c r="H86" s="16">
        <f t="shared" si="15"/>
        <v>0.76</v>
      </c>
      <c r="I86" s="57">
        <f>$L$74*F86+$L$73*G86+$L$75*H86</f>
        <v>421.38959999999997</v>
      </c>
      <c r="J86" s="124"/>
      <c r="K86" s="124"/>
      <c r="L86" s="124"/>
    </row>
    <row r="87" spans="1:12" ht="15" x14ac:dyDescent="0.3">
      <c r="A87" s="138" t="s">
        <v>141</v>
      </c>
      <c r="B87" s="121"/>
      <c r="C87" s="121"/>
      <c r="D87" s="16"/>
      <c r="E87" s="121"/>
      <c r="F87" s="168">
        <f>ROUND(SUM(F72:H86), -1)</f>
        <v>1550</v>
      </c>
      <c r="G87" s="168"/>
      <c r="H87" s="168"/>
      <c r="I87" s="139">
        <f>ROUND(SUM(I72:I86),-2)</f>
        <v>74700</v>
      </c>
      <c r="J87" s="124"/>
      <c r="K87" s="124"/>
      <c r="L87" s="124"/>
    </row>
    <row r="88" spans="1:12" x14ac:dyDescent="0.3">
      <c r="A88" s="124"/>
      <c r="B88" s="124"/>
      <c r="C88" s="124"/>
      <c r="D88" s="124"/>
      <c r="E88" s="124"/>
      <c r="F88" s="124"/>
      <c r="G88" s="124"/>
      <c r="H88" s="124"/>
      <c r="I88" s="124"/>
      <c r="J88" s="124"/>
      <c r="K88" s="124"/>
      <c r="L88" s="124"/>
    </row>
    <row r="89" spans="1:12" x14ac:dyDescent="0.3">
      <c r="A89" s="14" t="s">
        <v>2</v>
      </c>
      <c r="B89" s="124"/>
      <c r="C89" s="124"/>
      <c r="D89" s="124"/>
      <c r="E89" s="124"/>
      <c r="F89" s="124"/>
      <c r="G89" s="124"/>
      <c r="H89" s="124"/>
      <c r="I89" s="124"/>
      <c r="J89" s="124"/>
      <c r="K89" s="124"/>
      <c r="L89" s="124"/>
    </row>
    <row r="90" spans="1:12" x14ac:dyDescent="0.3">
      <c r="A90" s="169" t="s">
        <v>142</v>
      </c>
      <c r="B90" s="169"/>
      <c r="C90" s="169"/>
      <c r="D90" s="169"/>
      <c r="E90" s="169"/>
      <c r="F90" s="169"/>
      <c r="G90" s="169"/>
      <c r="H90" s="169"/>
      <c r="I90" s="169"/>
      <c r="J90" s="124"/>
      <c r="K90" s="124"/>
      <c r="L90" s="124"/>
    </row>
    <row r="91" spans="1:12" x14ac:dyDescent="0.3">
      <c r="A91" s="169" t="s">
        <v>143</v>
      </c>
      <c r="B91" s="169"/>
      <c r="C91" s="169"/>
      <c r="D91" s="169"/>
      <c r="E91" s="169"/>
      <c r="F91" s="169"/>
      <c r="G91" s="169"/>
      <c r="H91" s="169"/>
      <c r="I91" s="169"/>
      <c r="J91" s="124"/>
      <c r="K91" s="124"/>
      <c r="L91" s="124"/>
    </row>
    <row r="92" spans="1:12" x14ac:dyDescent="0.3">
      <c r="A92" s="169" t="s">
        <v>144</v>
      </c>
      <c r="B92" s="169"/>
      <c r="C92" s="169"/>
      <c r="D92" s="169"/>
      <c r="E92" s="169"/>
      <c r="F92" s="169"/>
      <c r="G92" s="169"/>
      <c r="H92" s="169"/>
      <c r="I92" s="169"/>
      <c r="J92" s="124"/>
      <c r="K92" s="124"/>
      <c r="L92" s="124"/>
    </row>
    <row r="93" spans="1:12" x14ac:dyDescent="0.3">
      <c r="A93" s="169" t="s">
        <v>145</v>
      </c>
      <c r="B93" s="169"/>
      <c r="C93" s="169"/>
      <c r="D93" s="169"/>
      <c r="E93" s="169"/>
      <c r="F93" s="169"/>
      <c r="G93" s="169"/>
      <c r="H93" s="169"/>
      <c r="I93" s="169"/>
      <c r="J93" s="124"/>
      <c r="K93" s="124"/>
      <c r="L93" s="124"/>
    </row>
    <row r="94" spans="1:12" x14ac:dyDescent="0.3">
      <c r="A94" s="165" t="s">
        <v>146</v>
      </c>
      <c r="B94" s="165"/>
      <c r="C94" s="165"/>
      <c r="D94" s="165"/>
      <c r="E94" s="165"/>
      <c r="F94" s="165"/>
      <c r="G94" s="165"/>
      <c r="H94" s="165"/>
      <c r="I94" s="165"/>
      <c r="J94" s="124"/>
      <c r="K94" s="124"/>
      <c r="L94" s="124"/>
    </row>
    <row r="95" spans="1:12" x14ac:dyDescent="0.3">
      <c r="A95" s="165" t="s">
        <v>147</v>
      </c>
      <c r="B95" s="165"/>
      <c r="C95" s="165"/>
      <c r="D95" s="165"/>
      <c r="E95" s="165"/>
      <c r="F95" s="165"/>
      <c r="G95" s="165"/>
      <c r="H95" s="165"/>
      <c r="I95" s="165"/>
      <c r="J95" s="124"/>
      <c r="K95" s="124"/>
      <c r="L95" s="124"/>
    </row>
    <row r="96" spans="1:12" x14ac:dyDescent="0.3">
      <c r="A96" s="165" t="s">
        <v>148</v>
      </c>
      <c r="B96" s="165"/>
      <c r="C96" s="165"/>
      <c r="D96" s="165"/>
      <c r="E96" s="165"/>
      <c r="F96" s="165"/>
      <c r="G96" s="165"/>
      <c r="H96" s="165"/>
      <c r="I96" s="165"/>
      <c r="J96" s="124"/>
      <c r="K96" s="124"/>
      <c r="L96" s="124"/>
    </row>
  </sheetData>
  <mergeCells count="32">
    <mergeCell ref="F44:H44"/>
    <mergeCell ref="A57:I57"/>
    <mergeCell ref="A58:I58"/>
    <mergeCell ref="F32:H32"/>
    <mergeCell ref="F45:H45"/>
    <mergeCell ref="A50:I50"/>
    <mergeCell ref="A51:I51"/>
    <mergeCell ref="A52:I52"/>
    <mergeCell ref="A62:I62"/>
    <mergeCell ref="A63:I63"/>
    <mergeCell ref="A64:I64"/>
    <mergeCell ref="A53:I53"/>
    <mergeCell ref="A54:I54"/>
    <mergeCell ref="A55:I55"/>
    <mergeCell ref="A56:I56"/>
    <mergeCell ref="A59:I59"/>
    <mergeCell ref="A94:I94"/>
    <mergeCell ref="A95:I95"/>
    <mergeCell ref="A96:I96"/>
    <mergeCell ref="K4:L4"/>
    <mergeCell ref="F87:H87"/>
    <mergeCell ref="A90:I90"/>
    <mergeCell ref="A91:I91"/>
    <mergeCell ref="A92:I92"/>
    <mergeCell ref="A93:I93"/>
    <mergeCell ref="A65:I65"/>
    <mergeCell ref="A66:I66"/>
    <mergeCell ref="A67:I67"/>
    <mergeCell ref="A69:I69"/>
    <mergeCell ref="K72:L72"/>
    <mergeCell ref="A60:I60"/>
    <mergeCell ref="A61:I6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63"/>
  <sheetViews>
    <sheetView topLeftCell="A37" zoomScale="110" zoomScaleNormal="110" workbookViewId="0"/>
  </sheetViews>
  <sheetFormatPr defaultColWidth="9.1796875" defaultRowHeight="14" x14ac:dyDescent="0.3"/>
  <cols>
    <col min="1" max="1" width="71" style="60" customWidth="1"/>
    <col min="2" max="2" width="10.26953125" style="60" customWidth="1"/>
    <col min="3" max="3" width="11.26953125" style="60" customWidth="1"/>
    <col min="4" max="4" width="10.26953125" style="60" customWidth="1"/>
    <col min="5" max="5" width="11.81640625" style="60" customWidth="1"/>
    <col min="6" max="8" width="10.26953125" style="60" customWidth="1"/>
    <col min="9" max="10" width="13" style="60" customWidth="1"/>
    <col min="11" max="11" width="13.7265625" style="60" bestFit="1" customWidth="1"/>
    <col min="12" max="16384" width="9.1796875" style="60"/>
  </cols>
  <sheetData>
    <row r="1" spans="1:15" x14ac:dyDescent="0.3">
      <c r="A1" s="65" t="s">
        <v>178</v>
      </c>
    </row>
    <row r="3" spans="1:15" ht="78" x14ac:dyDescent="0.3">
      <c r="A3" s="87" t="s">
        <v>0</v>
      </c>
      <c r="B3" s="87" t="s">
        <v>48</v>
      </c>
      <c r="C3" s="87" t="s">
        <v>49</v>
      </c>
      <c r="D3" s="87" t="s">
        <v>50</v>
      </c>
      <c r="E3" s="87" t="s">
        <v>51</v>
      </c>
      <c r="F3" s="87" t="s">
        <v>52</v>
      </c>
      <c r="G3" s="87" t="s">
        <v>53</v>
      </c>
      <c r="H3" s="87" t="s">
        <v>54</v>
      </c>
      <c r="I3" s="87" t="s">
        <v>55</v>
      </c>
      <c r="J3" s="18"/>
    </row>
    <row r="4" spans="1:15" s="66" customFormat="1" x14ac:dyDescent="0.3">
      <c r="A4" s="88" t="s">
        <v>56</v>
      </c>
      <c r="B4" s="16" t="s">
        <v>3</v>
      </c>
      <c r="C4" s="16"/>
      <c r="D4" s="16"/>
      <c r="E4" s="16"/>
      <c r="F4" s="16"/>
      <c r="G4" s="16"/>
      <c r="H4" s="16"/>
      <c r="I4" s="58"/>
      <c r="J4" s="19"/>
      <c r="K4" s="166" t="s">
        <v>150</v>
      </c>
      <c r="L4" s="167"/>
      <c r="M4" s="28"/>
      <c r="N4" s="28"/>
      <c r="O4" s="28"/>
    </row>
    <row r="5" spans="1:15" x14ac:dyDescent="0.3">
      <c r="A5" s="89" t="s">
        <v>57</v>
      </c>
      <c r="B5" s="90" t="s">
        <v>3</v>
      </c>
      <c r="C5" s="90"/>
      <c r="D5" s="16"/>
      <c r="E5" s="16"/>
      <c r="F5" s="16"/>
      <c r="G5" s="16"/>
      <c r="H5" s="16"/>
      <c r="I5" s="58"/>
      <c r="J5" s="67"/>
      <c r="K5" s="54" t="s">
        <v>13</v>
      </c>
      <c r="L5" s="61">
        <f>Inputs!D4</f>
        <v>117.73</v>
      </c>
      <c r="M5" s="7"/>
      <c r="N5" s="7"/>
      <c r="O5" s="7"/>
    </row>
    <row r="6" spans="1:15" ht="15.5" x14ac:dyDescent="0.3">
      <c r="A6" s="91" t="s">
        <v>58</v>
      </c>
      <c r="B6" s="92" t="s">
        <v>3</v>
      </c>
      <c r="C6" s="92"/>
      <c r="D6" s="93"/>
      <c r="E6" s="92"/>
      <c r="F6" s="94"/>
      <c r="G6" s="86"/>
      <c r="H6" s="86"/>
      <c r="I6" s="57"/>
      <c r="J6" s="20"/>
      <c r="K6" s="54" t="s">
        <v>15</v>
      </c>
      <c r="L6" s="61">
        <f>Inputs!D5</f>
        <v>106.56</v>
      </c>
      <c r="M6" s="7"/>
      <c r="N6" s="7"/>
      <c r="O6" s="7"/>
    </row>
    <row r="7" spans="1:15" x14ac:dyDescent="0.3">
      <c r="A7" s="95" t="s">
        <v>59</v>
      </c>
      <c r="B7" s="96"/>
      <c r="C7" s="96"/>
      <c r="D7" s="93"/>
      <c r="E7" s="96"/>
      <c r="F7" s="94"/>
      <c r="G7" s="86"/>
      <c r="H7" s="86"/>
      <c r="I7" s="57"/>
      <c r="J7" s="20"/>
      <c r="K7" s="55" t="s">
        <v>14</v>
      </c>
      <c r="L7" s="61">
        <f>Inputs!D6</f>
        <v>43.47</v>
      </c>
      <c r="M7" s="7"/>
      <c r="N7" s="6"/>
      <c r="O7" s="7"/>
    </row>
    <row r="8" spans="1:15" ht="15.5" x14ac:dyDescent="0.35">
      <c r="A8" s="97" t="s">
        <v>60</v>
      </c>
      <c r="B8" s="92">
        <v>2</v>
      </c>
      <c r="C8" s="92">
        <v>1</v>
      </c>
      <c r="D8" s="93">
        <f t="shared" ref="D8:D42" si="0">B8*C8</f>
        <v>2</v>
      </c>
      <c r="E8" s="92">
        <v>35</v>
      </c>
      <c r="F8" s="94">
        <f t="shared" ref="F8:F31" si="1">E8*D8</f>
        <v>70</v>
      </c>
      <c r="G8" s="86">
        <f t="shared" ref="G8:G31" si="2">+F8*0.05</f>
        <v>3.5</v>
      </c>
      <c r="H8" s="86">
        <f t="shared" ref="H8:H31" si="3">+F8*0.1</f>
        <v>7</v>
      </c>
      <c r="I8" s="57">
        <f>+$L$6*F8+$L$5*G8+$L$7*H8</f>
        <v>8175.5450000000001</v>
      </c>
      <c r="J8" s="21"/>
      <c r="M8" s="52"/>
      <c r="N8" s="68"/>
      <c r="O8" s="52"/>
    </row>
    <row r="9" spans="1:15" ht="15.5" x14ac:dyDescent="0.35">
      <c r="A9" s="97" t="s">
        <v>61</v>
      </c>
      <c r="B9" s="98"/>
      <c r="C9" s="98"/>
      <c r="D9" s="93"/>
      <c r="E9" s="98"/>
      <c r="F9" s="94"/>
      <c r="G9" s="86"/>
      <c r="H9" s="86"/>
      <c r="I9" s="57"/>
      <c r="J9" s="21"/>
      <c r="K9" s="52"/>
      <c r="L9" s="52"/>
      <c r="M9" s="52"/>
      <c r="N9" s="10"/>
      <c r="O9" s="52"/>
    </row>
    <row r="10" spans="1:15" ht="18.75" customHeight="1" x14ac:dyDescent="0.3">
      <c r="A10" s="99" t="s">
        <v>157</v>
      </c>
      <c r="B10" s="100">
        <v>40</v>
      </c>
      <c r="C10" s="100">
        <v>1</v>
      </c>
      <c r="D10" s="101">
        <f t="shared" ref="D10" si="4">B10*C10</f>
        <v>40</v>
      </c>
      <c r="E10" s="100">
        <v>35</v>
      </c>
      <c r="F10" s="102">
        <f t="shared" ref="F10" si="5">E10*D10</f>
        <v>1400</v>
      </c>
      <c r="G10" s="103">
        <f t="shared" ref="G10" si="6">+F10*0.05</f>
        <v>70</v>
      </c>
      <c r="H10" s="103">
        <f t="shared" ref="H10" si="7">+F10*0.1</f>
        <v>140</v>
      </c>
      <c r="I10" s="57">
        <f>+$L$6*F10+$L$5*G10+$L$7*H10</f>
        <v>163510.9</v>
      </c>
      <c r="J10" s="21"/>
      <c r="K10" s="53"/>
      <c r="L10" s="52"/>
      <c r="M10" s="52"/>
      <c r="N10" s="11"/>
      <c r="O10" s="52"/>
    </row>
    <row r="11" spans="1:15" ht="18.75" customHeight="1" x14ac:dyDescent="0.3">
      <c r="A11" s="104" t="s">
        <v>63</v>
      </c>
      <c r="B11" s="92" t="s">
        <v>3</v>
      </c>
      <c r="C11" s="92"/>
      <c r="D11" s="93"/>
      <c r="E11" s="92"/>
      <c r="F11" s="94"/>
      <c r="G11" s="86"/>
      <c r="H11" s="86"/>
      <c r="I11" s="57"/>
      <c r="J11" s="21"/>
      <c r="K11" s="52"/>
      <c r="L11" s="52"/>
      <c r="M11" s="52"/>
      <c r="N11" s="8"/>
      <c r="O11" s="52"/>
    </row>
    <row r="12" spans="1:15" ht="18.75" customHeight="1" x14ac:dyDescent="0.3">
      <c r="A12" s="104" t="s">
        <v>64</v>
      </c>
      <c r="B12" s="92" t="s">
        <v>3</v>
      </c>
      <c r="C12" s="92"/>
      <c r="D12" s="93"/>
      <c r="E12" s="92"/>
      <c r="F12" s="94"/>
      <c r="G12" s="86"/>
      <c r="H12" s="86"/>
      <c r="I12" s="57"/>
      <c r="J12" s="21"/>
      <c r="K12" s="53"/>
      <c r="L12" s="52"/>
      <c r="M12" s="52"/>
      <c r="N12" s="8"/>
      <c r="O12" s="52"/>
    </row>
    <row r="13" spans="1:15" ht="28.5" x14ac:dyDescent="0.35">
      <c r="A13" s="104" t="s">
        <v>65</v>
      </c>
      <c r="B13" s="96">
        <v>4</v>
      </c>
      <c r="C13" s="96">
        <v>1</v>
      </c>
      <c r="D13" s="93">
        <f t="shared" si="0"/>
        <v>4</v>
      </c>
      <c r="E13" s="96">
        <f>E8</f>
        <v>35</v>
      </c>
      <c r="F13" s="94">
        <f t="shared" si="1"/>
        <v>140</v>
      </c>
      <c r="G13" s="86">
        <f t="shared" si="2"/>
        <v>7</v>
      </c>
      <c r="H13" s="86">
        <f t="shared" si="3"/>
        <v>14</v>
      </c>
      <c r="I13" s="57">
        <f>+$L$6*F13+$L$5*G13+$L$7*H13</f>
        <v>16351.09</v>
      </c>
      <c r="J13" s="21"/>
      <c r="K13" s="52"/>
      <c r="L13" s="52"/>
      <c r="M13" s="52"/>
      <c r="N13" s="10"/>
      <c r="O13" s="52"/>
    </row>
    <row r="14" spans="1:15" ht="15.5" x14ac:dyDescent="0.35">
      <c r="A14" s="97" t="s">
        <v>66</v>
      </c>
      <c r="B14" s="96" t="s">
        <v>19</v>
      </c>
      <c r="C14" s="96"/>
      <c r="D14" s="93"/>
      <c r="E14" s="96"/>
      <c r="F14" s="94"/>
      <c r="G14" s="86"/>
      <c r="H14" s="86"/>
      <c r="I14" s="57"/>
      <c r="J14" s="21"/>
      <c r="K14" s="52"/>
      <c r="L14" s="52"/>
      <c r="M14" s="52"/>
      <c r="N14" s="10"/>
      <c r="O14" s="52"/>
    </row>
    <row r="15" spans="1:15" x14ac:dyDescent="0.3">
      <c r="A15" s="97" t="s">
        <v>67</v>
      </c>
      <c r="B15" s="96" t="s">
        <v>19</v>
      </c>
      <c r="C15" s="96"/>
      <c r="D15" s="93"/>
      <c r="E15" s="96"/>
      <c r="F15" s="94"/>
      <c r="G15" s="86"/>
      <c r="H15" s="86"/>
      <c r="I15" s="57"/>
      <c r="J15" s="21"/>
      <c r="K15" s="53"/>
      <c r="L15" s="52"/>
      <c r="M15" s="52"/>
      <c r="N15" s="52"/>
      <c r="O15" s="52"/>
    </row>
    <row r="16" spans="1:15" ht="18.75" customHeight="1" x14ac:dyDescent="0.3">
      <c r="A16" s="97" t="s">
        <v>68</v>
      </c>
      <c r="B16" s="96"/>
      <c r="C16" s="96"/>
      <c r="D16" s="93"/>
      <c r="E16" s="96"/>
      <c r="F16" s="94"/>
      <c r="G16" s="86"/>
      <c r="H16" s="86"/>
      <c r="I16" s="57"/>
      <c r="J16" s="21"/>
      <c r="K16" s="53"/>
      <c r="L16" s="52"/>
      <c r="M16" s="52"/>
      <c r="N16" s="52"/>
      <c r="O16" s="52"/>
    </row>
    <row r="17" spans="1:15" ht="15.5" x14ac:dyDescent="0.3">
      <c r="A17" s="105" t="s">
        <v>69</v>
      </c>
      <c r="B17" s="106" t="s">
        <v>3</v>
      </c>
      <c r="C17" s="106"/>
      <c r="D17" s="93"/>
      <c r="E17" s="106"/>
      <c r="F17" s="94"/>
      <c r="G17" s="107"/>
      <c r="H17" s="107"/>
      <c r="I17" s="57"/>
      <c r="J17" s="21"/>
      <c r="K17" s="53"/>
      <c r="L17" s="52"/>
      <c r="M17" s="52"/>
      <c r="N17" s="52"/>
      <c r="O17" s="52"/>
    </row>
    <row r="18" spans="1:15" ht="15.5" x14ac:dyDescent="0.3">
      <c r="A18" s="108" t="s">
        <v>70</v>
      </c>
      <c r="B18" s="92" t="s">
        <v>3</v>
      </c>
      <c r="C18" s="92"/>
      <c r="D18" s="93"/>
      <c r="E18" s="92"/>
      <c r="F18" s="94"/>
      <c r="G18" s="107"/>
      <c r="H18" s="107"/>
      <c r="I18" s="57"/>
      <c r="J18" s="21"/>
      <c r="K18" s="52"/>
      <c r="L18" s="52"/>
      <c r="M18" s="52"/>
      <c r="N18" s="52"/>
      <c r="O18" s="52"/>
    </row>
    <row r="19" spans="1:15" ht="15.5" x14ac:dyDescent="0.3">
      <c r="A19" s="108" t="s">
        <v>71</v>
      </c>
      <c r="B19" s="92" t="s">
        <v>3</v>
      </c>
      <c r="C19" s="92"/>
      <c r="D19" s="93"/>
      <c r="E19" s="92"/>
      <c r="F19" s="94"/>
      <c r="G19" s="107"/>
      <c r="H19" s="107"/>
      <c r="I19" s="57"/>
      <c r="J19" s="21"/>
      <c r="K19" s="53"/>
      <c r="L19" s="52"/>
      <c r="M19" s="52"/>
      <c r="N19" s="52"/>
      <c r="O19" s="52"/>
    </row>
    <row r="20" spans="1:15" ht="15.5" x14ac:dyDescent="0.3">
      <c r="A20" s="108" t="s">
        <v>72</v>
      </c>
      <c r="B20" s="92" t="s">
        <v>3</v>
      </c>
      <c r="C20" s="92"/>
      <c r="D20" s="93"/>
      <c r="E20" s="92"/>
      <c r="F20" s="94"/>
      <c r="G20" s="107"/>
      <c r="H20" s="107"/>
      <c r="I20" s="57"/>
      <c r="J20" s="21"/>
      <c r="K20" s="53"/>
      <c r="L20" s="52"/>
      <c r="M20" s="52"/>
      <c r="N20" s="52"/>
      <c r="O20" s="52"/>
    </row>
    <row r="21" spans="1:15" x14ac:dyDescent="0.3">
      <c r="A21" s="104" t="s">
        <v>73</v>
      </c>
      <c r="B21" s="92" t="s">
        <v>3</v>
      </c>
      <c r="C21" s="92"/>
      <c r="D21" s="93"/>
      <c r="E21" s="92"/>
      <c r="F21" s="94"/>
      <c r="G21" s="86"/>
      <c r="H21" s="86"/>
      <c r="I21" s="57"/>
      <c r="J21" s="21"/>
      <c r="K21" s="53"/>
      <c r="L21" s="52"/>
      <c r="M21" s="52"/>
      <c r="N21" s="52"/>
      <c r="O21" s="52"/>
    </row>
    <row r="22" spans="1:15" ht="15.5" x14ac:dyDescent="0.3">
      <c r="A22" s="108" t="s">
        <v>74</v>
      </c>
      <c r="B22" s="92" t="s">
        <v>3</v>
      </c>
      <c r="C22" s="92"/>
      <c r="D22" s="93"/>
      <c r="E22" s="92"/>
      <c r="F22" s="94"/>
      <c r="G22" s="107"/>
      <c r="H22" s="107"/>
      <c r="I22" s="57"/>
      <c r="J22" s="21"/>
      <c r="K22" s="53"/>
      <c r="L22" s="52"/>
      <c r="M22" s="52"/>
      <c r="N22" s="52"/>
      <c r="O22" s="52"/>
    </row>
    <row r="23" spans="1:15" ht="15.5" x14ac:dyDescent="0.3">
      <c r="A23" s="99" t="s">
        <v>158</v>
      </c>
      <c r="B23" s="92">
        <v>2</v>
      </c>
      <c r="C23" s="92">
        <v>1</v>
      </c>
      <c r="D23" s="93">
        <f t="shared" si="0"/>
        <v>2</v>
      </c>
      <c r="E23" s="140">
        <v>35</v>
      </c>
      <c r="F23" s="94">
        <f t="shared" si="1"/>
        <v>70</v>
      </c>
      <c r="G23" s="86">
        <f t="shared" si="2"/>
        <v>3.5</v>
      </c>
      <c r="H23" s="86">
        <f t="shared" si="3"/>
        <v>7</v>
      </c>
      <c r="I23" s="57">
        <f>+$L$6*F23+$L$5*G23+$L$7*H23</f>
        <v>8175.5450000000001</v>
      </c>
      <c r="J23" s="21"/>
      <c r="K23" s="52"/>
      <c r="L23" s="52"/>
      <c r="M23" s="52"/>
      <c r="N23" s="52"/>
      <c r="O23" s="52"/>
    </row>
    <row r="24" spans="1:15" x14ac:dyDescent="0.3">
      <c r="A24" s="108" t="s">
        <v>76</v>
      </c>
      <c r="B24" s="92" t="s">
        <v>3</v>
      </c>
      <c r="C24" s="92"/>
      <c r="D24" s="93"/>
      <c r="E24" s="92"/>
      <c r="F24" s="94"/>
      <c r="G24" s="86"/>
      <c r="H24" s="86"/>
      <c r="I24" s="57"/>
      <c r="J24" s="21"/>
      <c r="K24" s="52"/>
      <c r="L24" s="52"/>
      <c r="M24" s="52"/>
      <c r="N24" s="52"/>
      <c r="O24" s="52"/>
    </row>
    <row r="25" spans="1:15" ht="15.5" x14ac:dyDescent="0.3">
      <c r="A25" s="108" t="s">
        <v>77</v>
      </c>
      <c r="B25" s="92" t="s">
        <v>3</v>
      </c>
      <c r="C25" s="92"/>
      <c r="D25" s="93"/>
      <c r="E25" s="92"/>
      <c r="F25" s="94"/>
      <c r="G25" s="86"/>
      <c r="H25" s="86"/>
      <c r="I25" s="57"/>
      <c r="J25" s="21"/>
      <c r="K25" s="52"/>
      <c r="L25" s="52"/>
      <c r="M25" s="52"/>
      <c r="N25" s="52"/>
      <c r="O25" s="52"/>
    </row>
    <row r="26" spans="1:15" ht="15.5" x14ac:dyDescent="0.3">
      <c r="A26" s="108" t="s">
        <v>78</v>
      </c>
      <c r="B26" s="92" t="s">
        <v>3</v>
      </c>
      <c r="C26" s="92"/>
      <c r="D26" s="93"/>
      <c r="E26" s="92"/>
      <c r="F26" s="94"/>
      <c r="G26" s="86"/>
      <c r="H26" s="86"/>
      <c r="I26" s="57"/>
      <c r="J26" s="21"/>
      <c r="K26" s="53"/>
      <c r="L26" s="52"/>
      <c r="M26" s="52"/>
      <c r="N26" s="52"/>
      <c r="O26" s="52"/>
    </row>
    <row r="27" spans="1:15" ht="15.5" x14ac:dyDescent="0.3">
      <c r="A27" s="108" t="s">
        <v>79</v>
      </c>
      <c r="B27" s="92" t="s">
        <v>3</v>
      </c>
      <c r="C27" s="92"/>
      <c r="D27" s="93"/>
      <c r="E27" s="92"/>
      <c r="F27" s="94"/>
      <c r="G27" s="86"/>
      <c r="H27" s="86"/>
      <c r="I27" s="57"/>
      <c r="J27" s="22"/>
      <c r="K27" s="52"/>
      <c r="L27" s="52"/>
      <c r="M27" s="52"/>
      <c r="N27" s="52"/>
      <c r="O27" s="52"/>
    </row>
    <row r="28" spans="1:15" ht="15.5" x14ac:dyDescent="0.3">
      <c r="A28" s="104" t="s">
        <v>80</v>
      </c>
      <c r="B28" s="92" t="s">
        <v>3</v>
      </c>
      <c r="C28" s="92"/>
      <c r="D28" s="93"/>
      <c r="E28" s="92"/>
      <c r="F28" s="94"/>
      <c r="G28" s="107"/>
      <c r="H28" s="107"/>
      <c r="I28" s="57"/>
      <c r="J28" s="21"/>
      <c r="K28" s="53"/>
      <c r="L28" s="52"/>
      <c r="M28" s="52"/>
      <c r="N28" s="52"/>
      <c r="O28" s="52"/>
    </row>
    <row r="29" spans="1:15" x14ac:dyDescent="0.3">
      <c r="A29" s="108" t="s">
        <v>81</v>
      </c>
      <c r="B29" s="92" t="s">
        <v>3</v>
      </c>
      <c r="C29" s="92"/>
      <c r="D29" s="93"/>
      <c r="E29" s="92"/>
      <c r="F29" s="94"/>
      <c r="G29" s="86"/>
      <c r="H29" s="86"/>
      <c r="I29" s="57"/>
      <c r="J29" s="21"/>
      <c r="K29" s="53"/>
      <c r="L29" s="52"/>
      <c r="M29" s="52"/>
      <c r="N29" s="52"/>
      <c r="O29" s="52"/>
    </row>
    <row r="30" spans="1:15" ht="15.5" x14ac:dyDescent="0.3">
      <c r="A30" s="108" t="s">
        <v>82</v>
      </c>
      <c r="B30" s="92">
        <v>8</v>
      </c>
      <c r="C30" s="92">
        <v>2</v>
      </c>
      <c r="D30" s="93">
        <f t="shared" si="0"/>
        <v>16</v>
      </c>
      <c r="E30" s="92">
        <f>E8</f>
        <v>35</v>
      </c>
      <c r="F30" s="94">
        <f t="shared" si="1"/>
        <v>560</v>
      </c>
      <c r="G30" s="86">
        <f t="shared" si="2"/>
        <v>28</v>
      </c>
      <c r="H30" s="86">
        <f t="shared" si="3"/>
        <v>56</v>
      </c>
      <c r="I30" s="57">
        <f>+$L$6*F30+$L$5*G30+$L$7*H30</f>
        <v>65404.36</v>
      </c>
      <c r="J30" s="21"/>
      <c r="K30" s="53"/>
      <c r="L30" s="52"/>
      <c r="M30" s="52"/>
      <c r="N30" s="52"/>
      <c r="O30" s="52"/>
    </row>
    <row r="31" spans="1:15" ht="15.5" x14ac:dyDescent="0.3">
      <c r="A31" s="110" t="s">
        <v>83</v>
      </c>
      <c r="B31" s="106">
        <v>8</v>
      </c>
      <c r="C31" s="106">
        <v>1</v>
      </c>
      <c r="D31" s="93">
        <f t="shared" si="0"/>
        <v>8</v>
      </c>
      <c r="E31" s="140">
        <v>35</v>
      </c>
      <c r="F31" s="94">
        <f t="shared" si="1"/>
        <v>280</v>
      </c>
      <c r="G31" s="107">
        <f t="shared" si="2"/>
        <v>14</v>
      </c>
      <c r="H31" s="86">
        <f t="shared" si="3"/>
        <v>28</v>
      </c>
      <c r="I31" s="57">
        <f>+$L$6*F31+$L$5*G31+$L$7*H31</f>
        <v>32702.18</v>
      </c>
      <c r="J31" s="21"/>
      <c r="K31" s="53"/>
      <c r="L31" s="52"/>
      <c r="M31" s="52"/>
      <c r="N31" s="52"/>
      <c r="O31" s="52"/>
    </row>
    <row r="32" spans="1:15" x14ac:dyDescent="0.3">
      <c r="A32" s="111" t="s">
        <v>1</v>
      </c>
      <c r="B32" s="92"/>
      <c r="C32" s="92"/>
      <c r="D32" s="93"/>
      <c r="E32" s="92"/>
      <c r="F32" s="174">
        <f>SUM(F6:H31)</f>
        <v>2898</v>
      </c>
      <c r="G32" s="173"/>
      <c r="H32" s="173"/>
      <c r="I32" s="112">
        <f>SUM(I6:I31)</f>
        <v>294319.62</v>
      </c>
      <c r="J32" s="22"/>
      <c r="K32" s="52"/>
      <c r="L32" s="52"/>
      <c r="M32" s="52"/>
      <c r="N32" s="52"/>
      <c r="O32" s="52"/>
    </row>
    <row r="33" spans="1:15" x14ac:dyDescent="0.3">
      <c r="A33" s="95" t="s">
        <v>84</v>
      </c>
      <c r="B33" s="96"/>
      <c r="C33" s="96"/>
      <c r="D33" s="93"/>
      <c r="E33" s="96"/>
      <c r="F33" s="94"/>
      <c r="G33" s="86"/>
      <c r="H33" s="86"/>
      <c r="I33" s="56"/>
      <c r="J33" s="21"/>
      <c r="K33" s="52"/>
      <c r="L33" s="52"/>
      <c r="M33" s="52"/>
      <c r="N33" s="52"/>
      <c r="O33" s="52"/>
    </row>
    <row r="34" spans="1:15" x14ac:dyDescent="0.3">
      <c r="A34" s="97" t="s">
        <v>85</v>
      </c>
      <c r="B34" s="92" t="s">
        <v>35</v>
      </c>
      <c r="C34" s="95"/>
      <c r="D34" s="93"/>
      <c r="E34" s="95"/>
      <c r="F34" s="94"/>
      <c r="G34" s="113"/>
      <c r="H34" s="113"/>
      <c r="I34" s="57"/>
      <c r="J34" s="21"/>
      <c r="K34" s="53"/>
      <c r="L34" s="52"/>
      <c r="M34" s="52"/>
      <c r="N34" s="52"/>
      <c r="O34" s="52"/>
    </row>
    <row r="35" spans="1:15" x14ac:dyDescent="0.3">
      <c r="A35" s="97" t="s">
        <v>86</v>
      </c>
      <c r="B35" s="92">
        <v>3</v>
      </c>
      <c r="C35" s="92">
        <v>1</v>
      </c>
      <c r="D35" s="93">
        <f t="shared" si="0"/>
        <v>3</v>
      </c>
      <c r="E35" s="92">
        <v>35</v>
      </c>
      <c r="F35" s="94">
        <f>D35*E35</f>
        <v>105</v>
      </c>
      <c r="G35" s="107">
        <f>+F35*0.05</f>
        <v>5.25</v>
      </c>
      <c r="H35" s="107">
        <f>+F35*0.1</f>
        <v>10.5</v>
      </c>
      <c r="I35" s="57">
        <f>+$L$6*F35+$L$5*G35+$L$7*H35</f>
        <v>12263.317500000001</v>
      </c>
      <c r="J35" s="21"/>
      <c r="K35" s="53"/>
      <c r="L35" s="52"/>
      <c r="M35" s="52"/>
      <c r="N35" s="52"/>
      <c r="O35" s="52"/>
    </row>
    <row r="36" spans="1:15" ht="15.5" x14ac:dyDescent="0.3">
      <c r="A36" s="97" t="s">
        <v>87</v>
      </c>
      <c r="B36" s="92">
        <v>12</v>
      </c>
      <c r="C36" s="92">
        <v>1</v>
      </c>
      <c r="D36" s="93">
        <f t="shared" si="0"/>
        <v>12</v>
      </c>
      <c r="E36" s="92">
        <v>35</v>
      </c>
      <c r="F36" s="94">
        <f t="shared" ref="F36:F42" si="8">D36*E36</f>
        <v>420</v>
      </c>
      <c r="G36" s="107">
        <f t="shared" ref="G36:G42" si="9">+F36*0.05</f>
        <v>21</v>
      </c>
      <c r="H36" s="107">
        <f t="shared" ref="H36:H42" si="10">+F36*0.1</f>
        <v>42</v>
      </c>
      <c r="I36" s="57">
        <f>+$L$6*F36+$L$5*G36+$L$7*H36</f>
        <v>49053.270000000004</v>
      </c>
      <c r="J36" s="21"/>
      <c r="K36" s="52"/>
      <c r="L36" s="52"/>
      <c r="M36" s="52"/>
      <c r="N36" s="52"/>
      <c r="O36" s="52"/>
    </row>
    <row r="37" spans="1:15" x14ac:dyDescent="0.3">
      <c r="A37" s="97" t="s">
        <v>88</v>
      </c>
      <c r="B37" s="92">
        <v>3</v>
      </c>
      <c r="C37" s="92">
        <v>1</v>
      </c>
      <c r="D37" s="93">
        <f t="shared" si="0"/>
        <v>3</v>
      </c>
      <c r="E37" s="92">
        <v>35</v>
      </c>
      <c r="F37" s="94">
        <f t="shared" si="8"/>
        <v>105</v>
      </c>
      <c r="G37" s="107">
        <f t="shared" si="9"/>
        <v>5.25</v>
      </c>
      <c r="H37" s="107">
        <f t="shared" si="10"/>
        <v>10.5</v>
      </c>
      <c r="I37" s="57">
        <f>+$L$6*F37+$L$5*G37+$L$7*H37</f>
        <v>12263.317500000001</v>
      </c>
      <c r="J37" s="21"/>
      <c r="K37" s="53"/>
      <c r="L37" s="52"/>
      <c r="M37" s="52"/>
      <c r="N37" s="52"/>
      <c r="O37" s="52"/>
    </row>
    <row r="38" spans="1:15" x14ac:dyDescent="0.3">
      <c r="A38" s="97" t="s">
        <v>89</v>
      </c>
      <c r="B38" s="96"/>
      <c r="C38" s="96"/>
      <c r="D38" s="93"/>
      <c r="E38" s="96"/>
      <c r="F38" s="94"/>
      <c r="G38" s="107"/>
      <c r="H38" s="107"/>
      <c r="I38" s="57"/>
      <c r="J38" s="21"/>
      <c r="K38" s="52"/>
      <c r="L38" s="52"/>
      <c r="M38" s="52"/>
      <c r="N38" s="52"/>
      <c r="O38" s="52"/>
    </row>
    <row r="39" spans="1:15" ht="15.5" x14ac:dyDescent="0.3">
      <c r="A39" s="114" t="s">
        <v>90</v>
      </c>
      <c r="B39" s="92">
        <v>3</v>
      </c>
      <c r="C39" s="92">
        <v>52</v>
      </c>
      <c r="D39" s="93">
        <f t="shared" si="0"/>
        <v>156</v>
      </c>
      <c r="E39" s="92">
        <f>E8</f>
        <v>35</v>
      </c>
      <c r="F39" s="94">
        <f t="shared" si="8"/>
        <v>5460</v>
      </c>
      <c r="G39" s="86">
        <f t="shared" si="9"/>
        <v>273</v>
      </c>
      <c r="H39" s="86">
        <f t="shared" si="10"/>
        <v>546</v>
      </c>
      <c r="I39" s="57">
        <f>+$L$6*F39+$L$5*G39+$L$7*H39</f>
        <v>637692.51</v>
      </c>
      <c r="J39" s="21"/>
      <c r="K39" s="53"/>
      <c r="L39" s="52"/>
      <c r="M39" s="52"/>
      <c r="N39" s="52"/>
      <c r="O39" s="52"/>
    </row>
    <row r="40" spans="1:15" ht="15.5" x14ac:dyDescent="0.3">
      <c r="A40" s="115" t="s">
        <v>91</v>
      </c>
      <c r="B40" s="106">
        <v>3</v>
      </c>
      <c r="C40" s="106">
        <v>1</v>
      </c>
      <c r="D40" s="93">
        <f t="shared" si="0"/>
        <v>3</v>
      </c>
      <c r="E40" s="92">
        <v>35</v>
      </c>
      <c r="F40" s="94">
        <f t="shared" si="8"/>
        <v>105</v>
      </c>
      <c r="G40" s="107">
        <f t="shared" si="9"/>
        <v>5.25</v>
      </c>
      <c r="H40" s="107">
        <f t="shared" si="10"/>
        <v>10.5</v>
      </c>
      <c r="I40" s="57">
        <f>+$L$6*F40+$L$5*G40+$L$7*H40</f>
        <v>12263.317500000001</v>
      </c>
      <c r="J40" s="21"/>
      <c r="K40" s="53"/>
      <c r="L40" s="52"/>
      <c r="M40" s="52"/>
      <c r="N40" s="52"/>
      <c r="O40" s="52"/>
    </row>
    <row r="41" spans="1:15" ht="15.5" x14ac:dyDescent="0.3">
      <c r="A41" s="116" t="s">
        <v>159</v>
      </c>
      <c r="B41" s="92">
        <v>3</v>
      </c>
      <c r="C41" s="92">
        <v>1</v>
      </c>
      <c r="D41" s="93">
        <f t="shared" si="0"/>
        <v>3</v>
      </c>
      <c r="E41" s="85">
        <v>35</v>
      </c>
      <c r="F41" s="94">
        <f t="shared" si="8"/>
        <v>105</v>
      </c>
      <c r="G41" s="107">
        <f t="shared" si="9"/>
        <v>5.25</v>
      </c>
      <c r="H41" s="107">
        <f t="shared" si="10"/>
        <v>10.5</v>
      </c>
      <c r="I41" s="57">
        <f>+$L$6*F41+$L$5*G41+$L$7*H41</f>
        <v>12263.317500000001</v>
      </c>
      <c r="J41" s="21"/>
      <c r="K41" s="52"/>
      <c r="L41" s="52"/>
    </row>
    <row r="42" spans="1:15" ht="15.5" x14ac:dyDescent="0.3">
      <c r="A42" s="97" t="s">
        <v>93</v>
      </c>
      <c r="B42" s="92">
        <v>0.25</v>
      </c>
      <c r="C42" s="92">
        <v>2</v>
      </c>
      <c r="D42" s="93">
        <f t="shared" si="0"/>
        <v>0.5</v>
      </c>
      <c r="E42" s="16">
        <v>35</v>
      </c>
      <c r="F42" s="94">
        <f t="shared" si="8"/>
        <v>17.5</v>
      </c>
      <c r="G42" s="107">
        <f t="shared" si="9"/>
        <v>0.875</v>
      </c>
      <c r="H42" s="107">
        <f t="shared" si="10"/>
        <v>1.75</v>
      </c>
      <c r="I42" s="57">
        <f>+$L$6*F42+$L$5*G42+$L$7*H42</f>
        <v>2043.88625</v>
      </c>
      <c r="J42" s="21"/>
      <c r="K42" s="52"/>
      <c r="L42" s="52"/>
    </row>
    <row r="43" spans="1:15" x14ac:dyDescent="0.3">
      <c r="A43" s="97" t="s">
        <v>94</v>
      </c>
      <c r="B43" s="92" t="s">
        <v>3</v>
      </c>
      <c r="C43" s="92"/>
      <c r="D43" s="93"/>
      <c r="E43" s="16"/>
      <c r="F43" s="94"/>
      <c r="G43" s="107"/>
      <c r="H43" s="107"/>
      <c r="I43" s="57"/>
      <c r="J43" s="21"/>
      <c r="K43" s="53"/>
      <c r="L43" s="52"/>
    </row>
    <row r="44" spans="1:15" x14ac:dyDescent="0.3">
      <c r="A44" s="117" t="s">
        <v>95</v>
      </c>
      <c r="B44" s="17"/>
      <c r="C44" s="17"/>
      <c r="D44" s="17"/>
      <c r="E44" s="17"/>
      <c r="F44" s="173">
        <f>SUM(F33:H43)</f>
        <v>7265.125</v>
      </c>
      <c r="G44" s="173"/>
      <c r="H44" s="173"/>
      <c r="I44" s="112">
        <f>SUM(I33:I43)</f>
        <v>737842.93625000003</v>
      </c>
      <c r="J44" s="27"/>
      <c r="K44" s="26"/>
      <c r="L44" s="52"/>
    </row>
    <row r="45" spans="1:15" ht="15" x14ac:dyDescent="0.3">
      <c r="A45" s="118" t="s">
        <v>96</v>
      </c>
      <c r="B45" s="119"/>
      <c r="C45" s="119"/>
      <c r="D45" s="119"/>
      <c r="E45" s="119"/>
      <c r="F45" s="175">
        <f>ROUND(SUM(F44+F32), -1)</f>
        <v>10160</v>
      </c>
      <c r="G45" s="175"/>
      <c r="H45" s="175"/>
      <c r="I45" s="120">
        <f>ROUND((I44+I32),-4)</f>
        <v>1030000</v>
      </c>
      <c r="J45" s="23"/>
      <c r="K45" s="52"/>
      <c r="L45" s="52"/>
    </row>
    <row r="46" spans="1:15" ht="15" x14ac:dyDescent="0.3">
      <c r="A46" s="13" t="s">
        <v>97</v>
      </c>
      <c r="B46" s="17"/>
      <c r="C46" s="17"/>
      <c r="D46" s="17"/>
      <c r="E46" s="17"/>
      <c r="F46" s="17"/>
      <c r="G46" s="121"/>
      <c r="H46" s="113"/>
      <c r="I46" s="122">
        <v>335000</v>
      </c>
      <c r="J46" s="23"/>
      <c r="K46" s="52"/>
      <c r="L46" s="52"/>
    </row>
    <row r="47" spans="1:15" ht="15" x14ac:dyDescent="0.3">
      <c r="A47" s="12" t="s">
        <v>98</v>
      </c>
      <c r="B47" s="17"/>
      <c r="C47" s="17"/>
      <c r="D47" s="17"/>
      <c r="E47" s="17"/>
      <c r="F47" s="17"/>
      <c r="G47" s="121"/>
      <c r="H47" s="113"/>
      <c r="I47" s="122">
        <f>ROUND(I45+I46,-4)</f>
        <v>1370000</v>
      </c>
      <c r="J47" s="23"/>
      <c r="K47" s="52"/>
      <c r="L47" s="52"/>
    </row>
    <row r="48" spans="1:15" x14ac:dyDescent="0.3">
      <c r="A48" s="123"/>
      <c r="B48" s="124"/>
      <c r="C48" s="124"/>
      <c r="D48" s="124"/>
      <c r="E48" s="124"/>
      <c r="F48" s="124"/>
      <c r="G48" s="124"/>
      <c r="H48" s="125"/>
      <c r="I48" s="126"/>
      <c r="J48" s="23"/>
      <c r="K48" s="52"/>
      <c r="L48" s="52"/>
    </row>
    <row r="49" spans="1:12" ht="15" customHeight="1" x14ac:dyDescent="0.3">
      <c r="A49" s="127" t="s">
        <v>2</v>
      </c>
      <c r="B49" s="128"/>
      <c r="C49" s="128"/>
      <c r="D49" s="128"/>
      <c r="E49" s="128"/>
      <c r="F49" s="129"/>
      <c r="G49" s="125"/>
      <c r="H49" s="125"/>
      <c r="I49" s="126"/>
      <c r="J49" s="23"/>
      <c r="K49" s="52"/>
      <c r="L49" s="52"/>
    </row>
    <row r="50" spans="1:12" x14ac:dyDescent="0.3">
      <c r="A50" s="169" t="s">
        <v>152</v>
      </c>
      <c r="B50" s="169"/>
      <c r="C50" s="169"/>
      <c r="D50" s="169"/>
      <c r="E50" s="169"/>
      <c r="F50" s="169"/>
      <c r="G50" s="169"/>
      <c r="H50" s="169"/>
      <c r="I50" s="169"/>
      <c r="J50" s="23"/>
      <c r="K50" s="52"/>
      <c r="L50" s="52"/>
    </row>
    <row r="51" spans="1:12" ht="53.25" customHeight="1" x14ac:dyDescent="0.3">
      <c r="A51" s="169" t="s">
        <v>177</v>
      </c>
      <c r="B51" s="169"/>
      <c r="C51" s="169"/>
      <c r="D51" s="169"/>
      <c r="E51" s="169"/>
      <c r="F51" s="169"/>
      <c r="G51" s="169"/>
      <c r="H51" s="169"/>
      <c r="I51" s="169"/>
      <c r="J51" s="23"/>
      <c r="K51" s="52"/>
      <c r="L51" s="52"/>
    </row>
    <row r="52" spans="1:12" x14ac:dyDescent="0.3">
      <c r="A52" s="169" t="s">
        <v>151</v>
      </c>
      <c r="B52" s="169"/>
      <c r="C52" s="169"/>
      <c r="D52" s="169"/>
      <c r="E52" s="169"/>
      <c r="F52" s="169"/>
      <c r="G52" s="169"/>
      <c r="H52" s="169"/>
      <c r="I52" s="169"/>
      <c r="J52" s="23"/>
      <c r="K52" s="53"/>
      <c r="L52" s="52"/>
    </row>
    <row r="53" spans="1:12" x14ac:dyDescent="0.3">
      <c r="A53" s="169" t="s">
        <v>155</v>
      </c>
      <c r="B53" s="169"/>
      <c r="C53" s="169"/>
      <c r="D53" s="169"/>
      <c r="E53" s="169"/>
      <c r="F53" s="169"/>
      <c r="G53" s="169"/>
      <c r="H53" s="169"/>
      <c r="I53" s="169"/>
      <c r="J53" s="24"/>
      <c r="K53" s="24"/>
      <c r="L53" s="62"/>
    </row>
    <row r="54" spans="1:12" x14ac:dyDescent="0.3">
      <c r="A54" s="169" t="s">
        <v>156</v>
      </c>
      <c r="B54" s="169"/>
      <c r="C54" s="169"/>
      <c r="D54" s="169"/>
      <c r="E54" s="169"/>
      <c r="F54" s="169"/>
      <c r="G54" s="169"/>
      <c r="H54" s="169"/>
      <c r="I54" s="169"/>
      <c r="J54" s="25"/>
      <c r="K54" s="52"/>
      <c r="L54" s="52"/>
    </row>
    <row r="55" spans="1:12" ht="30" customHeight="1" x14ac:dyDescent="0.3">
      <c r="A55" s="165" t="s">
        <v>164</v>
      </c>
      <c r="B55" s="165"/>
      <c r="C55" s="165"/>
      <c r="D55" s="165"/>
      <c r="E55" s="165"/>
      <c r="F55" s="165"/>
      <c r="G55" s="165"/>
      <c r="H55" s="165"/>
      <c r="I55" s="165"/>
    </row>
    <row r="56" spans="1:12" x14ac:dyDescent="0.3">
      <c r="A56" s="165" t="s">
        <v>165</v>
      </c>
      <c r="B56" s="165"/>
      <c r="C56" s="165"/>
      <c r="D56" s="165"/>
      <c r="E56" s="165"/>
      <c r="F56" s="165"/>
      <c r="G56" s="165"/>
      <c r="H56" s="165"/>
      <c r="I56" s="165"/>
    </row>
    <row r="57" spans="1:12" x14ac:dyDescent="0.3">
      <c r="A57" s="165" t="s">
        <v>166</v>
      </c>
      <c r="B57" s="165"/>
      <c r="C57" s="165"/>
      <c r="D57" s="165"/>
      <c r="E57" s="165"/>
      <c r="F57" s="165"/>
      <c r="G57" s="165"/>
      <c r="H57" s="165"/>
      <c r="I57" s="165"/>
    </row>
    <row r="58" spans="1:12" x14ac:dyDescent="0.3">
      <c r="A58" s="165" t="s">
        <v>167</v>
      </c>
      <c r="B58" s="165"/>
      <c r="C58" s="165"/>
      <c r="D58" s="165"/>
      <c r="E58" s="165"/>
      <c r="F58" s="165"/>
      <c r="G58" s="165"/>
      <c r="H58" s="165"/>
      <c r="I58" s="165"/>
    </row>
    <row r="59" spans="1:12" x14ac:dyDescent="0.3">
      <c r="A59" s="165" t="s">
        <v>168</v>
      </c>
      <c r="B59" s="165"/>
      <c r="C59" s="165"/>
      <c r="D59" s="165"/>
      <c r="E59" s="165"/>
      <c r="F59" s="165"/>
      <c r="G59" s="165"/>
      <c r="H59" s="165"/>
      <c r="I59" s="165"/>
    </row>
    <row r="60" spans="1:12" x14ac:dyDescent="0.3">
      <c r="A60" s="165" t="s">
        <v>169</v>
      </c>
      <c r="B60" s="165"/>
      <c r="C60" s="165"/>
      <c r="D60" s="165"/>
      <c r="E60" s="165"/>
      <c r="F60" s="165"/>
      <c r="G60" s="165"/>
      <c r="H60" s="165"/>
      <c r="I60" s="165"/>
    </row>
    <row r="61" spans="1:12" x14ac:dyDescent="0.3">
      <c r="A61" s="165" t="s">
        <v>170</v>
      </c>
      <c r="B61" s="165"/>
      <c r="C61" s="165"/>
      <c r="D61" s="165"/>
      <c r="E61" s="165"/>
      <c r="F61" s="165"/>
      <c r="G61" s="165"/>
      <c r="H61" s="165"/>
      <c r="I61" s="165"/>
    </row>
    <row r="62" spans="1:12" x14ac:dyDescent="0.3">
      <c r="A62" s="165" t="s">
        <v>171</v>
      </c>
      <c r="B62" s="165"/>
      <c r="C62" s="165"/>
      <c r="D62" s="165"/>
      <c r="E62" s="165"/>
      <c r="F62" s="165"/>
      <c r="G62" s="165"/>
      <c r="H62" s="165"/>
      <c r="I62" s="165"/>
    </row>
    <row r="63" spans="1:12" x14ac:dyDescent="0.3">
      <c r="A63" s="165" t="s">
        <v>172</v>
      </c>
      <c r="B63" s="165"/>
      <c r="C63" s="165"/>
      <c r="D63" s="165"/>
      <c r="E63" s="165"/>
      <c r="F63" s="165"/>
      <c r="G63" s="165"/>
      <c r="H63" s="165"/>
      <c r="I63" s="165"/>
    </row>
  </sheetData>
  <mergeCells count="18">
    <mergeCell ref="A57:I57"/>
    <mergeCell ref="A58:I58"/>
    <mergeCell ref="A53:I53"/>
    <mergeCell ref="A54:I54"/>
    <mergeCell ref="F44:H44"/>
    <mergeCell ref="A50:I50"/>
    <mergeCell ref="A51:I51"/>
    <mergeCell ref="A52:I52"/>
    <mergeCell ref="K4:L4"/>
    <mergeCell ref="F32:H32"/>
    <mergeCell ref="F45:H45"/>
    <mergeCell ref="A55:I55"/>
    <mergeCell ref="A56:I56"/>
    <mergeCell ref="A63:I63"/>
    <mergeCell ref="A59:I59"/>
    <mergeCell ref="A60:I60"/>
    <mergeCell ref="A61:I61"/>
    <mergeCell ref="A62:I6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63"/>
  <sheetViews>
    <sheetView zoomScaleNormal="100" workbookViewId="0"/>
  </sheetViews>
  <sheetFormatPr defaultColWidth="9.1796875" defaultRowHeight="14" x14ac:dyDescent="0.3"/>
  <cols>
    <col min="1" max="1" width="71.1796875" style="60" customWidth="1"/>
    <col min="2" max="2" width="10.26953125" style="60" customWidth="1"/>
    <col min="3" max="3" width="11.26953125" style="60" customWidth="1"/>
    <col min="4" max="4" width="10.26953125" style="60" customWidth="1"/>
    <col min="5" max="5" width="11.81640625" style="60" customWidth="1"/>
    <col min="6" max="8" width="10.26953125" style="60" customWidth="1"/>
    <col min="9" max="10" width="13" style="60" customWidth="1"/>
    <col min="11" max="11" width="13.7265625" style="60" bestFit="1" customWidth="1"/>
    <col min="12" max="16384" width="9.1796875" style="60"/>
  </cols>
  <sheetData>
    <row r="1" spans="1:15" x14ac:dyDescent="0.3">
      <c r="A1" s="65" t="s">
        <v>179</v>
      </c>
    </row>
    <row r="3" spans="1:15" ht="78" x14ac:dyDescent="0.3">
      <c r="A3" s="87" t="s">
        <v>0</v>
      </c>
      <c r="B3" s="87" t="s">
        <v>48</v>
      </c>
      <c r="C3" s="87" t="s">
        <v>49</v>
      </c>
      <c r="D3" s="87" t="s">
        <v>50</v>
      </c>
      <c r="E3" s="87" t="s">
        <v>51</v>
      </c>
      <c r="F3" s="87" t="s">
        <v>52</v>
      </c>
      <c r="G3" s="87" t="s">
        <v>53</v>
      </c>
      <c r="H3" s="87" t="s">
        <v>54</v>
      </c>
      <c r="I3" s="87" t="s">
        <v>55</v>
      </c>
      <c r="J3" s="18"/>
    </row>
    <row r="4" spans="1:15" s="66" customFormat="1" x14ac:dyDescent="0.3">
      <c r="A4" s="88" t="s">
        <v>56</v>
      </c>
      <c r="B4" s="16" t="s">
        <v>3</v>
      </c>
      <c r="C4" s="16"/>
      <c r="D4" s="16"/>
      <c r="E4" s="16"/>
      <c r="F4" s="16"/>
      <c r="G4" s="16"/>
      <c r="H4" s="16"/>
      <c r="I4" s="58"/>
      <c r="J4" s="19"/>
      <c r="K4" s="166" t="s">
        <v>150</v>
      </c>
      <c r="L4" s="167"/>
      <c r="M4" s="28"/>
      <c r="N4" s="28"/>
      <c r="O4" s="28"/>
    </row>
    <row r="5" spans="1:15" x14ac:dyDescent="0.3">
      <c r="A5" s="89" t="s">
        <v>57</v>
      </c>
      <c r="B5" s="90" t="s">
        <v>3</v>
      </c>
      <c r="C5" s="90"/>
      <c r="D5" s="16"/>
      <c r="E5" s="16"/>
      <c r="F5" s="16"/>
      <c r="G5" s="16"/>
      <c r="H5" s="16"/>
      <c r="I5" s="58"/>
      <c r="J5" s="67"/>
      <c r="K5" s="54" t="s">
        <v>13</v>
      </c>
      <c r="L5" s="61">
        <f>Inputs!D4</f>
        <v>117.73</v>
      </c>
      <c r="M5" s="7"/>
      <c r="N5" s="7"/>
      <c r="O5" s="7"/>
    </row>
    <row r="6" spans="1:15" ht="15.5" x14ac:dyDescent="0.3">
      <c r="A6" s="91" t="s">
        <v>58</v>
      </c>
      <c r="B6" s="92" t="s">
        <v>3</v>
      </c>
      <c r="C6" s="92"/>
      <c r="D6" s="93"/>
      <c r="E6" s="92"/>
      <c r="F6" s="94"/>
      <c r="G6" s="86"/>
      <c r="H6" s="86"/>
      <c r="I6" s="57"/>
      <c r="J6" s="20"/>
      <c r="K6" s="54" t="s">
        <v>15</v>
      </c>
      <c r="L6" s="61">
        <f>Inputs!D5</f>
        <v>106.56</v>
      </c>
      <c r="M6" s="7"/>
      <c r="N6" s="7"/>
      <c r="O6" s="7"/>
    </row>
    <row r="7" spans="1:15" x14ac:dyDescent="0.3">
      <c r="A7" s="95" t="s">
        <v>59</v>
      </c>
      <c r="B7" s="96"/>
      <c r="C7" s="96"/>
      <c r="D7" s="93"/>
      <c r="E7" s="96"/>
      <c r="F7" s="94"/>
      <c r="G7" s="86"/>
      <c r="H7" s="86"/>
      <c r="I7" s="57"/>
      <c r="J7" s="20"/>
      <c r="K7" s="55" t="s">
        <v>14</v>
      </c>
      <c r="L7" s="61">
        <f>Inputs!D6</f>
        <v>43.47</v>
      </c>
      <c r="M7" s="7"/>
      <c r="N7" s="6"/>
      <c r="O7" s="7"/>
    </row>
    <row r="8" spans="1:15" ht="15.5" x14ac:dyDescent="0.35">
      <c r="A8" s="97" t="s">
        <v>60</v>
      </c>
      <c r="B8" s="92">
        <v>2</v>
      </c>
      <c r="C8" s="92">
        <v>1</v>
      </c>
      <c r="D8" s="93">
        <f t="shared" ref="D8:D42" si="0">B8*C8</f>
        <v>2</v>
      </c>
      <c r="E8" s="92">
        <v>35</v>
      </c>
      <c r="F8" s="94">
        <f t="shared" ref="F8:F31" si="1">E8*D8</f>
        <v>70</v>
      </c>
      <c r="G8" s="86">
        <f t="shared" ref="G8:G31" si="2">+F8*0.05</f>
        <v>3.5</v>
      </c>
      <c r="H8" s="86">
        <f t="shared" ref="H8:H31" si="3">+F8*0.1</f>
        <v>7</v>
      </c>
      <c r="I8" s="57">
        <f>+$L$6*F8+$L$5*G8+$L$7*H8</f>
        <v>8175.5450000000001</v>
      </c>
      <c r="J8" s="21"/>
      <c r="M8" s="52"/>
      <c r="N8" s="68"/>
      <c r="O8" s="52"/>
    </row>
    <row r="9" spans="1:15" ht="15.5" x14ac:dyDescent="0.35">
      <c r="A9" s="97" t="s">
        <v>61</v>
      </c>
      <c r="B9" s="98"/>
      <c r="C9" s="98"/>
      <c r="D9" s="93"/>
      <c r="E9" s="98"/>
      <c r="F9" s="94"/>
      <c r="G9" s="86"/>
      <c r="H9" s="86"/>
      <c r="I9" s="57"/>
      <c r="J9" s="21"/>
      <c r="K9" s="52"/>
      <c r="L9" s="52"/>
      <c r="M9" s="52"/>
      <c r="N9" s="10"/>
      <c r="O9" s="52"/>
    </row>
    <row r="10" spans="1:15" ht="18.75" customHeight="1" x14ac:dyDescent="0.3">
      <c r="A10" s="99" t="s">
        <v>157</v>
      </c>
      <c r="B10" s="100" t="s">
        <v>3</v>
      </c>
      <c r="C10" s="100"/>
      <c r="D10" s="101"/>
      <c r="E10" s="100"/>
      <c r="F10" s="102"/>
      <c r="G10" s="103"/>
      <c r="H10" s="103"/>
      <c r="I10" s="57"/>
      <c r="J10" s="21"/>
      <c r="K10" s="53"/>
      <c r="L10" s="52"/>
      <c r="M10" s="52"/>
      <c r="N10" s="11"/>
      <c r="O10" s="52"/>
    </row>
    <row r="11" spans="1:15" ht="18.75" customHeight="1" x14ac:dyDescent="0.3">
      <c r="A11" s="104" t="s">
        <v>63</v>
      </c>
      <c r="B11" s="92" t="s">
        <v>3</v>
      </c>
      <c r="C11" s="92"/>
      <c r="D11" s="93"/>
      <c r="E11" s="92"/>
      <c r="F11" s="94"/>
      <c r="G11" s="86"/>
      <c r="H11" s="86"/>
      <c r="I11" s="57"/>
      <c r="J11" s="21"/>
      <c r="K11" s="52"/>
      <c r="L11" s="52"/>
      <c r="M11" s="52"/>
      <c r="N11" s="8"/>
      <c r="O11" s="52"/>
    </row>
    <row r="12" spans="1:15" ht="18.75" customHeight="1" x14ac:dyDescent="0.3">
      <c r="A12" s="104" t="s">
        <v>64</v>
      </c>
      <c r="B12" s="92" t="s">
        <v>3</v>
      </c>
      <c r="C12" s="92"/>
      <c r="D12" s="93"/>
      <c r="E12" s="92"/>
      <c r="F12" s="94"/>
      <c r="G12" s="86"/>
      <c r="H12" s="86"/>
      <c r="I12" s="57"/>
      <c r="J12" s="21"/>
      <c r="K12" s="53"/>
      <c r="L12" s="52"/>
      <c r="M12" s="52"/>
      <c r="N12" s="8"/>
      <c r="O12" s="52"/>
    </row>
    <row r="13" spans="1:15" ht="28.5" x14ac:dyDescent="0.35">
      <c r="A13" s="104" t="s">
        <v>65</v>
      </c>
      <c r="B13" s="96">
        <v>4</v>
      </c>
      <c r="C13" s="96">
        <v>1</v>
      </c>
      <c r="D13" s="93">
        <f t="shared" si="0"/>
        <v>4</v>
      </c>
      <c r="E13" s="96">
        <f>E8</f>
        <v>35</v>
      </c>
      <c r="F13" s="94">
        <f t="shared" si="1"/>
        <v>140</v>
      </c>
      <c r="G13" s="86">
        <f t="shared" si="2"/>
        <v>7</v>
      </c>
      <c r="H13" s="86">
        <f t="shared" si="3"/>
        <v>14</v>
      </c>
      <c r="I13" s="57">
        <f>+$L$6*F13+$L$5*G13+$L$7*H13</f>
        <v>16351.09</v>
      </c>
      <c r="J13" s="21"/>
      <c r="K13" s="52"/>
      <c r="L13" s="52"/>
      <c r="M13" s="52"/>
      <c r="N13" s="10"/>
      <c r="O13" s="52"/>
    </row>
    <row r="14" spans="1:15" ht="15.5" x14ac:dyDescent="0.35">
      <c r="A14" s="97" t="s">
        <v>66</v>
      </c>
      <c r="B14" s="96" t="s">
        <v>19</v>
      </c>
      <c r="C14" s="96"/>
      <c r="D14" s="93"/>
      <c r="E14" s="96"/>
      <c r="F14" s="94"/>
      <c r="G14" s="86"/>
      <c r="H14" s="86"/>
      <c r="I14" s="57"/>
      <c r="J14" s="21"/>
      <c r="K14" s="52"/>
      <c r="L14" s="52"/>
      <c r="M14" s="52"/>
      <c r="N14" s="10"/>
      <c r="O14" s="52"/>
    </row>
    <row r="15" spans="1:15" x14ac:dyDescent="0.3">
      <c r="A15" s="97" t="s">
        <v>67</v>
      </c>
      <c r="B15" s="96" t="s">
        <v>19</v>
      </c>
      <c r="C15" s="96"/>
      <c r="D15" s="93"/>
      <c r="E15" s="96"/>
      <c r="F15" s="94"/>
      <c r="G15" s="86"/>
      <c r="H15" s="86"/>
      <c r="I15" s="57"/>
      <c r="J15" s="21"/>
      <c r="K15" s="53"/>
      <c r="L15" s="52"/>
      <c r="M15" s="52"/>
      <c r="N15" s="52"/>
      <c r="O15" s="52"/>
    </row>
    <row r="16" spans="1:15" ht="18.75" customHeight="1" x14ac:dyDescent="0.3">
      <c r="A16" s="97" t="s">
        <v>68</v>
      </c>
      <c r="B16" s="96"/>
      <c r="C16" s="96"/>
      <c r="D16" s="93"/>
      <c r="E16" s="96"/>
      <c r="F16" s="94"/>
      <c r="G16" s="86"/>
      <c r="H16" s="86"/>
      <c r="I16" s="57"/>
      <c r="J16" s="21"/>
      <c r="K16" s="53"/>
      <c r="L16" s="52"/>
      <c r="M16" s="52"/>
      <c r="N16" s="52"/>
      <c r="O16" s="52"/>
    </row>
    <row r="17" spans="1:15" ht="15.5" x14ac:dyDescent="0.3">
      <c r="A17" s="105" t="s">
        <v>69</v>
      </c>
      <c r="B17" s="106" t="s">
        <v>3</v>
      </c>
      <c r="C17" s="106"/>
      <c r="D17" s="93"/>
      <c r="E17" s="106"/>
      <c r="F17" s="94"/>
      <c r="G17" s="107"/>
      <c r="H17" s="107"/>
      <c r="I17" s="57"/>
      <c r="J17" s="21"/>
      <c r="K17" s="53"/>
      <c r="L17" s="52"/>
      <c r="M17" s="52"/>
      <c r="N17" s="52"/>
      <c r="O17" s="52"/>
    </row>
    <row r="18" spans="1:15" ht="15.5" x14ac:dyDescent="0.3">
      <c r="A18" s="108" t="s">
        <v>70</v>
      </c>
      <c r="B18" s="92" t="s">
        <v>3</v>
      </c>
      <c r="C18" s="92"/>
      <c r="D18" s="93"/>
      <c r="E18" s="92"/>
      <c r="F18" s="94"/>
      <c r="G18" s="107"/>
      <c r="H18" s="107"/>
      <c r="I18" s="57"/>
      <c r="J18" s="21"/>
      <c r="K18" s="52"/>
      <c r="L18" s="52"/>
      <c r="M18" s="52"/>
      <c r="N18" s="52"/>
      <c r="O18" s="52"/>
    </row>
    <row r="19" spans="1:15" ht="15.5" x14ac:dyDescent="0.3">
      <c r="A19" s="108" t="s">
        <v>71</v>
      </c>
      <c r="B19" s="92" t="s">
        <v>3</v>
      </c>
      <c r="C19" s="92"/>
      <c r="D19" s="93"/>
      <c r="E19" s="92"/>
      <c r="F19" s="94"/>
      <c r="G19" s="107"/>
      <c r="H19" s="107"/>
      <c r="I19" s="57"/>
      <c r="J19" s="21"/>
      <c r="K19" s="53"/>
      <c r="L19" s="52"/>
      <c r="M19" s="52"/>
      <c r="N19" s="52"/>
      <c r="O19" s="52"/>
    </row>
    <row r="20" spans="1:15" ht="15.5" x14ac:dyDescent="0.3">
      <c r="A20" s="108" t="s">
        <v>72</v>
      </c>
      <c r="B20" s="92" t="s">
        <v>3</v>
      </c>
      <c r="C20" s="92"/>
      <c r="D20" s="93"/>
      <c r="E20" s="92"/>
      <c r="F20" s="94"/>
      <c r="G20" s="107"/>
      <c r="H20" s="107"/>
      <c r="I20" s="57"/>
      <c r="J20" s="21"/>
      <c r="K20" s="53"/>
      <c r="L20" s="52"/>
      <c r="M20" s="52"/>
      <c r="N20" s="52"/>
      <c r="O20" s="52"/>
    </row>
    <row r="21" spans="1:15" x14ac:dyDescent="0.3">
      <c r="A21" s="104" t="s">
        <v>73</v>
      </c>
      <c r="B21" s="92" t="s">
        <v>3</v>
      </c>
      <c r="C21" s="92"/>
      <c r="D21" s="93"/>
      <c r="E21" s="92"/>
      <c r="F21" s="94"/>
      <c r="G21" s="86"/>
      <c r="H21" s="86"/>
      <c r="I21" s="57"/>
      <c r="J21" s="21"/>
      <c r="K21" s="53"/>
      <c r="L21" s="52"/>
      <c r="M21" s="52"/>
      <c r="N21" s="52"/>
      <c r="O21" s="52"/>
    </row>
    <row r="22" spans="1:15" ht="15.5" x14ac:dyDescent="0.3">
      <c r="A22" s="108" t="s">
        <v>74</v>
      </c>
      <c r="B22" s="92" t="s">
        <v>3</v>
      </c>
      <c r="C22" s="92"/>
      <c r="D22" s="93"/>
      <c r="E22" s="92"/>
      <c r="F22" s="94"/>
      <c r="G22" s="107"/>
      <c r="H22" s="107"/>
      <c r="I22" s="57"/>
      <c r="J22" s="21"/>
      <c r="K22" s="53"/>
      <c r="L22" s="52"/>
      <c r="M22" s="52"/>
      <c r="N22" s="52"/>
      <c r="O22" s="52"/>
    </row>
    <row r="23" spans="1:15" ht="15.5" x14ac:dyDescent="0.3">
      <c r="A23" s="99" t="s">
        <v>158</v>
      </c>
      <c r="B23" s="92">
        <v>2</v>
      </c>
      <c r="C23" s="92">
        <v>1</v>
      </c>
      <c r="D23" s="93">
        <f t="shared" si="0"/>
        <v>2</v>
      </c>
      <c r="E23" s="140">
        <v>0</v>
      </c>
      <c r="F23" s="94">
        <f t="shared" si="1"/>
        <v>0</v>
      </c>
      <c r="G23" s="86">
        <f t="shared" si="2"/>
        <v>0</v>
      </c>
      <c r="H23" s="86">
        <f t="shared" si="3"/>
        <v>0</v>
      </c>
      <c r="I23" s="57">
        <f>+$L$6*F23+$L$5*G23+$L$7*H23</f>
        <v>0</v>
      </c>
      <c r="J23" s="21"/>
      <c r="K23" s="52"/>
      <c r="L23" s="52"/>
      <c r="M23" s="52"/>
      <c r="N23" s="52"/>
      <c r="O23" s="52"/>
    </row>
    <row r="24" spans="1:15" x14ac:dyDescent="0.3">
      <c r="A24" s="108" t="s">
        <v>76</v>
      </c>
      <c r="B24" s="92" t="s">
        <v>3</v>
      </c>
      <c r="C24" s="92"/>
      <c r="D24" s="93"/>
      <c r="E24" s="92"/>
      <c r="F24" s="94"/>
      <c r="G24" s="86"/>
      <c r="H24" s="86"/>
      <c r="I24" s="57"/>
      <c r="J24" s="21"/>
      <c r="K24" s="52"/>
      <c r="L24" s="52"/>
      <c r="M24" s="52"/>
      <c r="N24" s="52"/>
      <c r="O24" s="52"/>
    </row>
    <row r="25" spans="1:15" ht="15.5" x14ac:dyDescent="0.3">
      <c r="A25" s="108" t="s">
        <v>77</v>
      </c>
      <c r="B25" s="92" t="s">
        <v>3</v>
      </c>
      <c r="C25" s="92"/>
      <c r="D25" s="93"/>
      <c r="E25" s="92"/>
      <c r="F25" s="94"/>
      <c r="G25" s="86"/>
      <c r="H25" s="86"/>
      <c r="I25" s="57"/>
      <c r="J25" s="21"/>
      <c r="K25" s="52"/>
      <c r="L25" s="52"/>
      <c r="M25" s="52"/>
      <c r="N25" s="52"/>
      <c r="O25" s="52"/>
    </row>
    <row r="26" spans="1:15" ht="15.5" x14ac:dyDescent="0.3">
      <c r="A26" s="108" t="s">
        <v>78</v>
      </c>
      <c r="B26" s="92" t="s">
        <v>3</v>
      </c>
      <c r="C26" s="92"/>
      <c r="D26" s="93"/>
      <c r="E26" s="92"/>
      <c r="F26" s="94"/>
      <c r="G26" s="86"/>
      <c r="H26" s="86"/>
      <c r="I26" s="57"/>
      <c r="J26" s="21"/>
      <c r="K26" s="53"/>
      <c r="L26" s="52"/>
      <c r="M26" s="52"/>
      <c r="N26" s="52"/>
      <c r="O26" s="52"/>
    </row>
    <row r="27" spans="1:15" ht="15.5" x14ac:dyDescent="0.3">
      <c r="A27" s="108" t="s">
        <v>79</v>
      </c>
      <c r="B27" s="92" t="s">
        <v>3</v>
      </c>
      <c r="C27" s="92"/>
      <c r="D27" s="93"/>
      <c r="E27" s="92"/>
      <c r="F27" s="94"/>
      <c r="G27" s="86"/>
      <c r="H27" s="86"/>
      <c r="I27" s="57"/>
      <c r="J27" s="22"/>
      <c r="K27" s="52"/>
      <c r="L27" s="52"/>
      <c r="M27" s="52"/>
      <c r="N27" s="52"/>
      <c r="O27" s="52"/>
    </row>
    <row r="28" spans="1:15" ht="15.5" x14ac:dyDescent="0.3">
      <c r="A28" s="104" t="s">
        <v>80</v>
      </c>
      <c r="B28" s="92" t="s">
        <v>3</v>
      </c>
      <c r="C28" s="92"/>
      <c r="D28" s="93"/>
      <c r="E28" s="92"/>
      <c r="F28" s="94"/>
      <c r="G28" s="107"/>
      <c r="H28" s="107"/>
      <c r="I28" s="57"/>
      <c r="J28" s="21"/>
      <c r="K28" s="53"/>
      <c r="L28" s="52"/>
      <c r="M28" s="52"/>
      <c r="N28" s="52"/>
      <c r="O28" s="52"/>
    </row>
    <row r="29" spans="1:15" x14ac:dyDescent="0.3">
      <c r="A29" s="108" t="s">
        <v>81</v>
      </c>
      <c r="B29" s="92" t="s">
        <v>3</v>
      </c>
      <c r="C29" s="92"/>
      <c r="D29" s="93"/>
      <c r="E29" s="92"/>
      <c r="F29" s="94"/>
      <c r="G29" s="86"/>
      <c r="H29" s="86"/>
      <c r="I29" s="57"/>
      <c r="J29" s="21"/>
      <c r="K29" s="53"/>
      <c r="L29" s="52"/>
      <c r="M29" s="52"/>
      <c r="N29" s="52"/>
      <c r="O29" s="52"/>
    </row>
    <row r="30" spans="1:15" ht="15.5" x14ac:dyDescent="0.3">
      <c r="A30" s="108" t="s">
        <v>82</v>
      </c>
      <c r="B30" s="92">
        <v>8</v>
      </c>
      <c r="C30" s="92">
        <v>2</v>
      </c>
      <c r="D30" s="93">
        <f t="shared" si="0"/>
        <v>16</v>
      </c>
      <c r="E30" s="92">
        <f>E8</f>
        <v>35</v>
      </c>
      <c r="F30" s="94">
        <f t="shared" si="1"/>
        <v>560</v>
      </c>
      <c r="G30" s="86">
        <f t="shared" si="2"/>
        <v>28</v>
      </c>
      <c r="H30" s="86">
        <f t="shared" si="3"/>
        <v>56</v>
      </c>
      <c r="I30" s="57">
        <f>+$L$6*F30+$L$5*G30+$L$7*H30</f>
        <v>65404.36</v>
      </c>
      <c r="J30" s="21"/>
      <c r="K30" s="53"/>
      <c r="L30" s="52"/>
      <c r="M30" s="52"/>
      <c r="N30" s="52"/>
      <c r="O30" s="52"/>
    </row>
    <row r="31" spans="1:15" ht="15.5" x14ac:dyDescent="0.3">
      <c r="A31" s="110" t="s">
        <v>83</v>
      </c>
      <c r="B31" s="106">
        <v>8</v>
      </c>
      <c r="C31" s="106">
        <v>1</v>
      </c>
      <c r="D31" s="93">
        <f t="shared" si="0"/>
        <v>8</v>
      </c>
      <c r="E31" s="140">
        <v>35</v>
      </c>
      <c r="F31" s="94">
        <f t="shared" si="1"/>
        <v>280</v>
      </c>
      <c r="G31" s="107">
        <f t="shared" si="2"/>
        <v>14</v>
      </c>
      <c r="H31" s="86">
        <f t="shared" si="3"/>
        <v>28</v>
      </c>
      <c r="I31" s="57">
        <f>+$L$6*F31+$L$5*G31+$L$7*H31</f>
        <v>32702.18</v>
      </c>
      <c r="J31" s="21"/>
      <c r="K31" s="53"/>
      <c r="L31" s="52"/>
      <c r="M31" s="52"/>
      <c r="N31" s="52"/>
      <c r="O31" s="52"/>
    </row>
    <row r="32" spans="1:15" x14ac:dyDescent="0.3">
      <c r="A32" s="111" t="s">
        <v>1</v>
      </c>
      <c r="B32" s="92"/>
      <c r="C32" s="92"/>
      <c r="D32" s="93"/>
      <c r="E32" s="92"/>
      <c r="F32" s="174">
        <f>SUM(F4:H31)</f>
        <v>1207.5</v>
      </c>
      <c r="G32" s="173"/>
      <c r="H32" s="173"/>
      <c r="I32" s="112">
        <f>SUM(I6:I31)</f>
        <v>122633.17499999999</v>
      </c>
      <c r="J32" s="22"/>
      <c r="K32" s="52"/>
      <c r="L32" s="52"/>
      <c r="M32" s="52"/>
      <c r="N32" s="52"/>
      <c r="O32" s="52"/>
    </row>
    <row r="33" spans="1:15" x14ac:dyDescent="0.3">
      <c r="A33" s="95" t="s">
        <v>84</v>
      </c>
      <c r="B33" s="96"/>
      <c r="C33" s="96"/>
      <c r="D33" s="93"/>
      <c r="E33" s="96"/>
      <c r="F33" s="94"/>
      <c r="G33" s="86"/>
      <c r="H33" s="86"/>
      <c r="I33" s="56"/>
      <c r="J33" s="21"/>
      <c r="K33" s="52"/>
      <c r="L33" s="52"/>
      <c r="M33" s="52"/>
      <c r="N33" s="52"/>
      <c r="O33" s="52"/>
    </row>
    <row r="34" spans="1:15" x14ac:dyDescent="0.3">
      <c r="A34" s="97" t="s">
        <v>85</v>
      </c>
      <c r="B34" s="92" t="s">
        <v>35</v>
      </c>
      <c r="C34" s="95"/>
      <c r="D34" s="93"/>
      <c r="E34" s="95"/>
      <c r="F34" s="94"/>
      <c r="G34" s="113"/>
      <c r="H34" s="113"/>
      <c r="I34" s="57"/>
      <c r="J34" s="21"/>
      <c r="K34" s="53"/>
      <c r="L34" s="52"/>
      <c r="M34" s="52"/>
      <c r="N34" s="52"/>
      <c r="O34" s="52"/>
    </row>
    <row r="35" spans="1:15" x14ac:dyDescent="0.3">
      <c r="A35" s="97" t="s">
        <v>86</v>
      </c>
      <c r="B35" s="92" t="s">
        <v>3</v>
      </c>
      <c r="C35" s="92"/>
      <c r="D35" s="93"/>
      <c r="E35" s="92"/>
      <c r="F35" s="94"/>
      <c r="G35" s="107"/>
      <c r="H35" s="107"/>
      <c r="I35" s="57"/>
      <c r="J35" s="21"/>
      <c r="K35" s="53"/>
      <c r="L35" s="52"/>
      <c r="M35" s="52"/>
      <c r="N35" s="52"/>
      <c r="O35" s="52"/>
    </row>
    <row r="36" spans="1:15" ht="15.5" x14ac:dyDescent="0.3">
      <c r="A36" s="97" t="s">
        <v>87</v>
      </c>
      <c r="B36" s="92" t="s">
        <v>3</v>
      </c>
      <c r="C36" s="92"/>
      <c r="D36" s="93"/>
      <c r="E36" s="92"/>
      <c r="F36" s="94"/>
      <c r="G36" s="107"/>
      <c r="H36" s="107"/>
      <c r="I36" s="57"/>
      <c r="J36" s="21"/>
      <c r="K36" s="52"/>
      <c r="L36" s="52"/>
      <c r="M36" s="52"/>
      <c r="N36" s="52"/>
      <c r="O36" s="52"/>
    </row>
    <row r="37" spans="1:15" x14ac:dyDescent="0.3">
      <c r="A37" s="97" t="s">
        <v>88</v>
      </c>
      <c r="B37" s="92" t="s">
        <v>3</v>
      </c>
      <c r="C37" s="92"/>
      <c r="D37" s="93"/>
      <c r="E37" s="92"/>
      <c r="F37" s="94"/>
      <c r="G37" s="107"/>
      <c r="H37" s="107"/>
      <c r="I37" s="57"/>
      <c r="J37" s="21"/>
      <c r="K37" s="53"/>
      <c r="L37" s="52"/>
      <c r="M37" s="52"/>
      <c r="N37" s="52"/>
      <c r="O37" s="52"/>
    </row>
    <row r="38" spans="1:15" x14ac:dyDescent="0.3">
      <c r="A38" s="97" t="s">
        <v>89</v>
      </c>
      <c r="B38" s="96"/>
      <c r="C38" s="96"/>
      <c r="D38" s="93"/>
      <c r="E38" s="96"/>
      <c r="F38" s="94"/>
      <c r="G38" s="107"/>
      <c r="H38" s="107"/>
      <c r="I38" s="57"/>
      <c r="J38" s="21"/>
      <c r="K38" s="52"/>
      <c r="L38" s="52"/>
      <c r="M38" s="52"/>
      <c r="N38" s="52"/>
      <c r="O38" s="52"/>
    </row>
    <row r="39" spans="1:15" ht="15.5" x14ac:dyDescent="0.3">
      <c r="A39" s="114" t="s">
        <v>90</v>
      </c>
      <c r="B39" s="92">
        <v>3</v>
      </c>
      <c r="C39" s="92">
        <v>52</v>
      </c>
      <c r="D39" s="93">
        <f t="shared" si="0"/>
        <v>156</v>
      </c>
      <c r="E39" s="92">
        <f>E8</f>
        <v>35</v>
      </c>
      <c r="F39" s="94">
        <f t="shared" ref="F39:F42" si="4">D39*E39</f>
        <v>5460</v>
      </c>
      <c r="G39" s="86">
        <f t="shared" ref="G39:G42" si="5">+F39*0.05</f>
        <v>273</v>
      </c>
      <c r="H39" s="86">
        <f t="shared" ref="H39:H42" si="6">+F39*0.1</f>
        <v>546</v>
      </c>
      <c r="I39" s="57">
        <f>+$L$6*F39+$L$5*G39+$L$7*H39</f>
        <v>637692.51</v>
      </c>
      <c r="J39" s="21"/>
      <c r="K39" s="53"/>
      <c r="L39" s="52"/>
      <c r="M39" s="52"/>
      <c r="N39" s="52"/>
      <c r="O39" s="52"/>
    </row>
    <row r="40" spans="1:15" ht="15.5" x14ac:dyDescent="0.3">
      <c r="A40" s="115" t="s">
        <v>91</v>
      </c>
      <c r="B40" s="106" t="s">
        <v>3</v>
      </c>
      <c r="C40" s="106"/>
      <c r="D40" s="93"/>
      <c r="E40" s="92"/>
      <c r="F40" s="94"/>
      <c r="G40" s="107"/>
      <c r="H40" s="107"/>
      <c r="I40" s="57"/>
      <c r="J40" s="21"/>
      <c r="K40" s="53"/>
      <c r="L40" s="52"/>
      <c r="M40" s="52"/>
      <c r="N40" s="52"/>
      <c r="O40" s="52"/>
    </row>
    <row r="41" spans="1:15" ht="15.5" x14ac:dyDescent="0.3">
      <c r="A41" s="116" t="s">
        <v>159</v>
      </c>
      <c r="B41" s="92" t="s">
        <v>3</v>
      </c>
      <c r="C41" s="92"/>
      <c r="D41" s="93"/>
      <c r="E41" s="85"/>
      <c r="F41" s="94"/>
      <c r="G41" s="107"/>
      <c r="H41" s="107"/>
      <c r="I41" s="57"/>
      <c r="J41" s="21"/>
      <c r="K41" s="52"/>
      <c r="L41" s="52"/>
    </row>
    <row r="42" spans="1:15" ht="15.5" x14ac:dyDescent="0.3">
      <c r="A42" s="97" t="s">
        <v>93</v>
      </c>
      <c r="B42" s="92">
        <v>0.25</v>
      </c>
      <c r="C42" s="92">
        <v>2</v>
      </c>
      <c r="D42" s="93">
        <f t="shared" si="0"/>
        <v>0.5</v>
      </c>
      <c r="E42" s="16">
        <v>35</v>
      </c>
      <c r="F42" s="94">
        <f t="shared" si="4"/>
        <v>17.5</v>
      </c>
      <c r="G42" s="107">
        <f t="shared" si="5"/>
        <v>0.875</v>
      </c>
      <c r="H42" s="107">
        <f t="shared" si="6"/>
        <v>1.75</v>
      </c>
      <c r="I42" s="57">
        <f>+$L$6*F42+$L$5*G42+$L$7*H42</f>
        <v>2043.88625</v>
      </c>
      <c r="J42" s="21"/>
      <c r="K42" s="52"/>
      <c r="L42" s="52"/>
    </row>
    <row r="43" spans="1:15" x14ac:dyDescent="0.3">
      <c r="A43" s="97" t="s">
        <v>94</v>
      </c>
      <c r="B43" s="92" t="s">
        <v>3</v>
      </c>
      <c r="C43" s="92"/>
      <c r="D43" s="93"/>
      <c r="E43" s="16"/>
      <c r="F43" s="94"/>
      <c r="G43" s="107"/>
      <c r="H43" s="107"/>
      <c r="I43" s="57"/>
      <c r="J43" s="21"/>
      <c r="K43" s="53"/>
      <c r="L43" s="52"/>
    </row>
    <row r="44" spans="1:15" x14ac:dyDescent="0.3">
      <c r="A44" s="117" t="s">
        <v>95</v>
      </c>
      <c r="B44" s="17"/>
      <c r="C44" s="17"/>
      <c r="D44" s="17"/>
      <c r="E44" s="17"/>
      <c r="F44" s="173">
        <f>SUM(F33:H43)</f>
        <v>6299.125</v>
      </c>
      <c r="G44" s="173"/>
      <c r="H44" s="173"/>
      <c r="I44" s="112">
        <f>SUM(I33:I43)</f>
        <v>639736.39624999999</v>
      </c>
      <c r="J44" s="27"/>
      <c r="K44" s="26"/>
      <c r="L44" s="52"/>
    </row>
    <row r="45" spans="1:15" ht="15" x14ac:dyDescent="0.3">
      <c r="A45" s="118" t="s">
        <v>96</v>
      </c>
      <c r="B45" s="119"/>
      <c r="C45" s="119"/>
      <c r="D45" s="119"/>
      <c r="E45" s="119"/>
      <c r="F45" s="175">
        <f>ROUND(SUM(F44+F32), -1)</f>
        <v>7510</v>
      </c>
      <c r="G45" s="175"/>
      <c r="H45" s="175"/>
      <c r="I45" s="120">
        <f>ROUND((I44+I32),-4)</f>
        <v>760000</v>
      </c>
      <c r="J45" s="23"/>
      <c r="K45" s="52"/>
      <c r="L45" s="52"/>
    </row>
    <row r="46" spans="1:15" ht="15" x14ac:dyDescent="0.3">
      <c r="A46" s="13" t="s">
        <v>97</v>
      </c>
      <c r="B46" s="17"/>
      <c r="C46" s="17"/>
      <c r="D46" s="17"/>
      <c r="E46" s="17"/>
      <c r="F46" s="17"/>
      <c r="G46" s="121"/>
      <c r="H46" s="113"/>
      <c r="I46" s="122">
        <v>335000</v>
      </c>
      <c r="J46" s="23"/>
      <c r="K46" s="52"/>
      <c r="L46" s="52"/>
    </row>
    <row r="47" spans="1:15" ht="15" x14ac:dyDescent="0.3">
      <c r="A47" s="12" t="s">
        <v>98</v>
      </c>
      <c r="B47" s="17"/>
      <c r="C47" s="17"/>
      <c r="D47" s="17"/>
      <c r="E47" s="17"/>
      <c r="F47" s="17"/>
      <c r="G47" s="121"/>
      <c r="H47" s="113"/>
      <c r="I47" s="122">
        <f>ROUND(I45+I46,-4)</f>
        <v>1100000</v>
      </c>
      <c r="J47" s="23"/>
      <c r="K47" s="52"/>
      <c r="L47" s="52"/>
    </row>
    <row r="48" spans="1:15" x14ac:dyDescent="0.3">
      <c r="A48" s="123"/>
      <c r="B48" s="124"/>
      <c r="C48" s="124"/>
      <c r="D48" s="124"/>
      <c r="E48" s="124"/>
      <c r="F48" s="124"/>
      <c r="G48" s="124"/>
      <c r="H48" s="125"/>
      <c r="I48" s="126"/>
      <c r="J48" s="23"/>
      <c r="K48" s="52"/>
      <c r="L48" s="52"/>
    </row>
    <row r="49" spans="1:12" x14ac:dyDescent="0.3">
      <c r="A49" s="127" t="s">
        <v>2</v>
      </c>
      <c r="B49" s="128"/>
      <c r="C49" s="128"/>
      <c r="D49" s="128"/>
      <c r="E49" s="128"/>
      <c r="F49" s="129"/>
      <c r="G49" s="125"/>
      <c r="H49" s="125"/>
      <c r="I49" s="126"/>
      <c r="J49" s="23"/>
      <c r="K49" s="52"/>
      <c r="L49" s="52"/>
    </row>
    <row r="50" spans="1:12" x14ac:dyDescent="0.3">
      <c r="A50" s="169" t="s">
        <v>152</v>
      </c>
      <c r="B50" s="169"/>
      <c r="C50" s="169"/>
      <c r="D50" s="169"/>
      <c r="E50" s="169"/>
      <c r="F50" s="169"/>
      <c r="G50" s="169"/>
      <c r="H50" s="169"/>
      <c r="I50" s="169"/>
      <c r="J50" s="23"/>
      <c r="K50" s="52"/>
      <c r="L50" s="52"/>
    </row>
    <row r="51" spans="1:12" x14ac:dyDescent="0.3">
      <c r="A51" s="169" t="s">
        <v>153</v>
      </c>
      <c r="B51" s="169"/>
      <c r="C51" s="169"/>
      <c r="D51" s="169"/>
      <c r="E51" s="169"/>
      <c r="F51" s="169"/>
      <c r="G51" s="169"/>
      <c r="H51" s="169"/>
      <c r="I51" s="169"/>
      <c r="J51" s="23"/>
      <c r="K51" s="52"/>
      <c r="L51" s="52"/>
    </row>
    <row r="52" spans="1:12" x14ac:dyDescent="0.3">
      <c r="A52" s="169" t="s">
        <v>151</v>
      </c>
      <c r="B52" s="169"/>
      <c r="C52" s="169"/>
      <c r="D52" s="169"/>
      <c r="E52" s="169"/>
      <c r="F52" s="169"/>
      <c r="G52" s="169"/>
      <c r="H52" s="169"/>
      <c r="I52" s="169"/>
      <c r="J52" s="23"/>
      <c r="K52" s="53"/>
      <c r="L52" s="52"/>
    </row>
    <row r="53" spans="1:12" x14ac:dyDescent="0.3">
      <c r="A53" s="169" t="s">
        <v>155</v>
      </c>
      <c r="B53" s="169"/>
      <c r="C53" s="169"/>
      <c r="D53" s="169"/>
      <c r="E53" s="169"/>
      <c r="F53" s="169"/>
      <c r="G53" s="169"/>
      <c r="H53" s="169"/>
      <c r="I53" s="169"/>
      <c r="J53" s="24"/>
      <c r="K53" s="24"/>
      <c r="L53" s="62"/>
    </row>
    <row r="54" spans="1:12" x14ac:dyDescent="0.3">
      <c r="A54" s="169" t="s">
        <v>156</v>
      </c>
      <c r="B54" s="169"/>
      <c r="C54" s="169"/>
      <c r="D54" s="169"/>
      <c r="E54" s="169"/>
      <c r="F54" s="169"/>
      <c r="G54" s="169"/>
      <c r="H54" s="169"/>
      <c r="I54" s="169"/>
      <c r="J54" s="25"/>
      <c r="K54" s="52"/>
      <c r="L54" s="52"/>
    </row>
    <row r="55" spans="1:12" x14ac:dyDescent="0.3">
      <c r="A55" s="165" t="s">
        <v>164</v>
      </c>
      <c r="B55" s="165"/>
      <c r="C55" s="165"/>
      <c r="D55" s="165"/>
      <c r="E55" s="165"/>
      <c r="F55" s="165"/>
      <c r="G55" s="165"/>
      <c r="H55" s="165"/>
      <c r="I55" s="165"/>
    </row>
    <row r="56" spans="1:12" x14ac:dyDescent="0.3">
      <c r="A56" s="165" t="s">
        <v>165</v>
      </c>
      <c r="B56" s="165"/>
      <c r="C56" s="165"/>
      <c r="D56" s="165"/>
      <c r="E56" s="165"/>
      <c r="F56" s="165"/>
      <c r="G56" s="165"/>
      <c r="H56" s="165"/>
      <c r="I56" s="165"/>
    </row>
    <row r="57" spans="1:12" x14ac:dyDescent="0.3">
      <c r="A57" s="165" t="s">
        <v>166</v>
      </c>
      <c r="B57" s="165"/>
      <c r="C57" s="165"/>
      <c r="D57" s="165"/>
      <c r="E57" s="165"/>
      <c r="F57" s="165"/>
      <c r="G57" s="165"/>
      <c r="H57" s="165"/>
      <c r="I57" s="165"/>
    </row>
    <row r="58" spans="1:12" x14ac:dyDescent="0.3">
      <c r="A58" s="165" t="s">
        <v>173</v>
      </c>
      <c r="B58" s="165"/>
      <c r="C58" s="165"/>
      <c r="D58" s="165"/>
      <c r="E58" s="165"/>
      <c r="F58" s="165"/>
      <c r="G58" s="165"/>
      <c r="H58" s="165"/>
      <c r="I58" s="165"/>
    </row>
    <row r="59" spans="1:12" x14ac:dyDescent="0.3">
      <c r="A59" s="165" t="s">
        <v>168</v>
      </c>
      <c r="B59" s="165"/>
      <c r="C59" s="165"/>
      <c r="D59" s="165"/>
      <c r="E59" s="165"/>
      <c r="F59" s="165"/>
      <c r="G59" s="165"/>
      <c r="H59" s="165"/>
      <c r="I59" s="165"/>
    </row>
    <row r="60" spans="1:12" x14ac:dyDescent="0.3">
      <c r="A60" s="165" t="s">
        <v>174</v>
      </c>
      <c r="B60" s="165"/>
      <c r="C60" s="165"/>
      <c r="D60" s="165"/>
      <c r="E60" s="165"/>
      <c r="F60" s="165"/>
      <c r="G60" s="165"/>
      <c r="H60" s="165"/>
      <c r="I60" s="165"/>
    </row>
    <row r="61" spans="1:12" x14ac:dyDescent="0.3">
      <c r="A61" s="165" t="s">
        <v>175</v>
      </c>
      <c r="B61" s="165"/>
      <c r="C61" s="165"/>
      <c r="D61" s="165"/>
      <c r="E61" s="165"/>
      <c r="F61" s="165"/>
      <c r="G61" s="165"/>
      <c r="H61" s="165"/>
      <c r="I61" s="165"/>
    </row>
    <row r="62" spans="1:12" x14ac:dyDescent="0.3">
      <c r="A62" s="165" t="s">
        <v>171</v>
      </c>
      <c r="B62" s="165"/>
      <c r="C62" s="165"/>
      <c r="D62" s="165"/>
      <c r="E62" s="165"/>
      <c r="F62" s="165"/>
      <c r="G62" s="165"/>
      <c r="H62" s="165"/>
      <c r="I62" s="165"/>
    </row>
    <row r="63" spans="1:12" x14ac:dyDescent="0.3">
      <c r="A63" s="165" t="s">
        <v>172</v>
      </c>
      <c r="B63" s="165"/>
      <c r="C63" s="165"/>
      <c r="D63" s="165"/>
      <c r="E63" s="165"/>
      <c r="F63" s="165"/>
      <c r="G63" s="165"/>
      <c r="H63" s="165"/>
      <c r="I63" s="165"/>
    </row>
  </sheetData>
  <mergeCells count="18">
    <mergeCell ref="K4:L4"/>
    <mergeCell ref="F32:H32"/>
    <mergeCell ref="F44:H44"/>
    <mergeCell ref="F45:H45"/>
    <mergeCell ref="A50:I50"/>
    <mergeCell ref="A51:I51"/>
    <mergeCell ref="A52:I52"/>
    <mergeCell ref="A53:I53"/>
    <mergeCell ref="A54:I54"/>
    <mergeCell ref="A55:I55"/>
    <mergeCell ref="A56:I56"/>
    <mergeCell ref="A57:I57"/>
    <mergeCell ref="A63:I63"/>
    <mergeCell ref="A58:I58"/>
    <mergeCell ref="A59:I59"/>
    <mergeCell ref="A60:I60"/>
    <mergeCell ref="A61:I61"/>
    <mergeCell ref="A62:I6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63"/>
  <sheetViews>
    <sheetView zoomScaleNormal="100" workbookViewId="0"/>
  </sheetViews>
  <sheetFormatPr defaultColWidth="9.1796875" defaultRowHeight="14" x14ac:dyDescent="0.3"/>
  <cols>
    <col min="1" max="1" width="71.7265625" style="60" customWidth="1"/>
    <col min="2" max="2" width="10.26953125" style="60" customWidth="1"/>
    <col min="3" max="3" width="11.26953125" style="60" customWidth="1"/>
    <col min="4" max="4" width="10.26953125" style="60" customWidth="1"/>
    <col min="5" max="5" width="11.81640625" style="60" customWidth="1"/>
    <col min="6" max="8" width="10.26953125" style="60" customWidth="1"/>
    <col min="9" max="10" width="13" style="60" customWidth="1"/>
    <col min="11" max="11" width="13.7265625" style="60" bestFit="1" customWidth="1"/>
    <col min="12" max="16384" width="9.1796875" style="60"/>
  </cols>
  <sheetData>
    <row r="1" spans="1:15" x14ac:dyDescent="0.3">
      <c r="A1" s="65" t="s">
        <v>180</v>
      </c>
    </row>
    <row r="3" spans="1:15" ht="78" x14ac:dyDescent="0.3">
      <c r="A3" s="87" t="s">
        <v>0</v>
      </c>
      <c r="B3" s="87" t="s">
        <v>48</v>
      </c>
      <c r="C3" s="87" t="s">
        <v>49</v>
      </c>
      <c r="D3" s="87" t="s">
        <v>50</v>
      </c>
      <c r="E3" s="87" t="s">
        <v>51</v>
      </c>
      <c r="F3" s="87" t="s">
        <v>52</v>
      </c>
      <c r="G3" s="87" t="s">
        <v>53</v>
      </c>
      <c r="H3" s="87" t="s">
        <v>54</v>
      </c>
      <c r="I3" s="87" t="s">
        <v>55</v>
      </c>
      <c r="J3" s="18"/>
    </row>
    <row r="4" spans="1:15" s="66" customFormat="1" x14ac:dyDescent="0.3">
      <c r="A4" s="88" t="s">
        <v>56</v>
      </c>
      <c r="B4" s="16" t="s">
        <v>3</v>
      </c>
      <c r="C4" s="16"/>
      <c r="D4" s="16"/>
      <c r="E4" s="16"/>
      <c r="F4" s="16"/>
      <c r="G4" s="16"/>
      <c r="H4" s="16"/>
      <c r="I4" s="58"/>
      <c r="J4" s="19"/>
      <c r="K4" s="166" t="s">
        <v>150</v>
      </c>
      <c r="L4" s="167"/>
      <c r="M4" s="28"/>
      <c r="N4" s="28"/>
      <c r="O4" s="28"/>
    </row>
    <row r="5" spans="1:15" x14ac:dyDescent="0.3">
      <c r="A5" s="89" t="s">
        <v>57</v>
      </c>
      <c r="B5" s="90" t="s">
        <v>3</v>
      </c>
      <c r="C5" s="90"/>
      <c r="D5" s="16"/>
      <c r="E5" s="16"/>
      <c r="F5" s="16"/>
      <c r="G5" s="16"/>
      <c r="H5" s="16"/>
      <c r="I5" s="58"/>
      <c r="J5" s="67"/>
      <c r="K5" s="54" t="s">
        <v>13</v>
      </c>
      <c r="L5" s="61">
        <f>Inputs!D4</f>
        <v>117.73</v>
      </c>
      <c r="M5" s="7"/>
      <c r="N5" s="7"/>
      <c r="O5" s="7"/>
    </row>
    <row r="6" spans="1:15" ht="15.5" x14ac:dyDescent="0.3">
      <c r="A6" s="91" t="s">
        <v>58</v>
      </c>
      <c r="B6" s="92" t="s">
        <v>3</v>
      </c>
      <c r="C6" s="92"/>
      <c r="D6" s="93"/>
      <c r="E6" s="92"/>
      <c r="F6" s="94"/>
      <c r="G6" s="86"/>
      <c r="H6" s="86"/>
      <c r="I6" s="57"/>
      <c r="J6" s="20"/>
      <c r="K6" s="54" t="s">
        <v>15</v>
      </c>
      <c r="L6" s="61">
        <f>Inputs!D5</f>
        <v>106.56</v>
      </c>
      <c r="M6" s="7"/>
      <c r="N6" s="7"/>
      <c r="O6" s="7"/>
    </row>
    <row r="7" spans="1:15" x14ac:dyDescent="0.3">
      <c r="A7" s="95" t="s">
        <v>59</v>
      </c>
      <c r="B7" s="96"/>
      <c r="C7" s="96"/>
      <c r="D7" s="93"/>
      <c r="E7" s="96"/>
      <c r="F7" s="94"/>
      <c r="G7" s="86"/>
      <c r="H7" s="86"/>
      <c r="I7" s="57"/>
      <c r="J7" s="20"/>
      <c r="K7" s="55" t="s">
        <v>14</v>
      </c>
      <c r="L7" s="61">
        <f>Inputs!D6</f>
        <v>43.47</v>
      </c>
      <c r="M7" s="7"/>
      <c r="N7" s="6"/>
      <c r="O7" s="7"/>
    </row>
    <row r="8" spans="1:15" ht="15.5" x14ac:dyDescent="0.35">
      <c r="A8" s="97" t="s">
        <v>60</v>
      </c>
      <c r="B8" s="92">
        <v>2</v>
      </c>
      <c r="C8" s="92">
        <v>1</v>
      </c>
      <c r="D8" s="93">
        <f t="shared" ref="D8:D42" si="0">B8*C8</f>
        <v>2</v>
      </c>
      <c r="E8" s="92">
        <v>35</v>
      </c>
      <c r="F8" s="94">
        <f t="shared" ref="F8:F31" si="1">E8*D8</f>
        <v>70</v>
      </c>
      <c r="G8" s="86">
        <f t="shared" ref="G8:G31" si="2">+F8*0.05</f>
        <v>3.5</v>
      </c>
      <c r="H8" s="86">
        <f t="shared" ref="H8:H31" si="3">+F8*0.1</f>
        <v>7</v>
      </c>
      <c r="I8" s="57">
        <f>+$L$6*F8+$L$5*G8+$L$7*H8</f>
        <v>8175.5450000000001</v>
      </c>
      <c r="J8" s="21"/>
      <c r="M8" s="52"/>
      <c r="N8" s="68"/>
      <c r="O8" s="52"/>
    </row>
    <row r="9" spans="1:15" ht="15.5" x14ac:dyDescent="0.35">
      <c r="A9" s="97" t="s">
        <v>61</v>
      </c>
      <c r="B9" s="98"/>
      <c r="C9" s="98"/>
      <c r="D9" s="93"/>
      <c r="E9" s="98"/>
      <c r="F9" s="94"/>
      <c r="G9" s="86"/>
      <c r="H9" s="86"/>
      <c r="I9" s="57"/>
      <c r="J9" s="21"/>
      <c r="K9" s="52"/>
      <c r="L9" s="52"/>
      <c r="M9" s="52"/>
      <c r="N9" s="10"/>
      <c r="O9" s="52"/>
    </row>
    <row r="10" spans="1:15" ht="18.75" customHeight="1" x14ac:dyDescent="0.3">
      <c r="A10" s="99" t="s">
        <v>157</v>
      </c>
      <c r="B10" s="100" t="s">
        <v>3</v>
      </c>
      <c r="C10" s="100"/>
      <c r="D10" s="101"/>
      <c r="E10" s="100"/>
      <c r="F10" s="102"/>
      <c r="G10" s="103"/>
      <c r="H10" s="103"/>
      <c r="I10" s="57"/>
      <c r="J10" s="21"/>
      <c r="K10" s="53"/>
      <c r="L10" s="52"/>
      <c r="M10" s="52"/>
      <c r="N10" s="11"/>
      <c r="O10" s="52"/>
    </row>
    <row r="11" spans="1:15" ht="18.75" customHeight="1" x14ac:dyDescent="0.3">
      <c r="A11" s="104" t="s">
        <v>63</v>
      </c>
      <c r="B11" s="92" t="s">
        <v>3</v>
      </c>
      <c r="C11" s="92"/>
      <c r="D11" s="93"/>
      <c r="E11" s="92"/>
      <c r="F11" s="94"/>
      <c r="G11" s="86"/>
      <c r="H11" s="86"/>
      <c r="I11" s="57"/>
      <c r="J11" s="21"/>
      <c r="K11" s="52"/>
      <c r="L11" s="52"/>
      <c r="M11" s="52"/>
      <c r="N11" s="8"/>
      <c r="O11" s="52"/>
    </row>
    <row r="12" spans="1:15" ht="18.75" customHeight="1" x14ac:dyDescent="0.3">
      <c r="A12" s="104" t="s">
        <v>64</v>
      </c>
      <c r="B12" s="92" t="s">
        <v>3</v>
      </c>
      <c r="C12" s="92"/>
      <c r="D12" s="93"/>
      <c r="E12" s="92"/>
      <c r="F12" s="94"/>
      <c r="G12" s="86"/>
      <c r="H12" s="86"/>
      <c r="I12" s="57"/>
      <c r="J12" s="21"/>
      <c r="K12" s="53"/>
      <c r="L12" s="52"/>
      <c r="M12" s="52"/>
      <c r="N12" s="8"/>
      <c r="O12" s="52"/>
    </row>
    <row r="13" spans="1:15" ht="28.5" x14ac:dyDescent="0.35">
      <c r="A13" s="104" t="s">
        <v>65</v>
      </c>
      <c r="B13" s="96">
        <v>4</v>
      </c>
      <c r="C13" s="96">
        <v>1</v>
      </c>
      <c r="D13" s="93">
        <f t="shared" si="0"/>
        <v>4</v>
      </c>
      <c r="E13" s="96">
        <f>E8</f>
        <v>35</v>
      </c>
      <c r="F13" s="94">
        <f t="shared" si="1"/>
        <v>140</v>
      </c>
      <c r="G13" s="86">
        <f t="shared" si="2"/>
        <v>7</v>
      </c>
      <c r="H13" s="86">
        <f t="shared" si="3"/>
        <v>14</v>
      </c>
      <c r="I13" s="57">
        <f>+$L$6*F13+$L$5*G13+$L$7*H13</f>
        <v>16351.09</v>
      </c>
      <c r="J13" s="21"/>
      <c r="K13" s="52"/>
      <c r="L13" s="52"/>
      <c r="M13" s="52"/>
      <c r="N13" s="10"/>
      <c r="O13" s="52"/>
    </row>
    <row r="14" spans="1:15" ht="15.5" x14ac:dyDescent="0.35">
      <c r="A14" s="97" t="s">
        <v>66</v>
      </c>
      <c r="B14" s="96" t="s">
        <v>19</v>
      </c>
      <c r="C14" s="96"/>
      <c r="D14" s="93"/>
      <c r="E14" s="96"/>
      <c r="F14" s="94"/>
      <c r="G14" s="86"/>
      <c r="H14" s="86"/>
      <c r="I14" s="57"/>
      <c r="J14" s="21"/>
      <c r="K14" s="52"/>
      <c r="L14" s="52"/>
      <c r="M14" s="52"/>
      <c r="N14" s="10"/>
      <c r="O14" s="52"/>
    </row>
    <row r="15" spans="1:15" x14ac:dyDescent="0.3">
      <c r="A15" s="97" t="s">
        <v>67</v>
      </c>
      <c r="B15" s="96" t="s">
        <v>19</v>
      </c>
      <c r="C15" s="96"/>
      <c r="D15" s="93"/>
      <c r="E15" s="96"/>
      <c r="F15" s="94"/>
      <c r="G15" s="86"/>
      <c r="H15" s="86"/>
      <c r="I15" s="57"/>
      <c r="J15" s="21"/>
      <c r="K15" s="53"/>
      <c r="L15" s="52"/>
      <c r="M15" s="52"/>
      <c r="N15" s="52"/>
      <c r="O15" s="52"/>
    </row>
    <row r="16" spans="1:15" ht="18.75" customHeight="1" x14ac:dyDescent="0.3">
      <c r="A16" s="97" t="s">
        <v>68</v>
      </c>
      <c r="B16" s="96"/>
      <c r="C16" s="96"/>
      <c r="D16" s="93"/>
      <c r="E16" s="96"/>
      <c r="F16" s="94"/>
      <c r="G16" s="86"/>
      <c r="H16" s="86"/>
      <c r="I16" s="57"/>
      <c r="J16" s="21"/>
      <c r="K16" s="53"/>
      <c r="L16" s="52"/>
      <c r="M16" s="52"/>
      <c r="N16" s="52"/>
      <c r="O16" s="52"/>
    </row>
    <row r="17" spans="1:15" ht="15.5" x14ac:dyDescent="0.3">
      <c r="A17" s="105" t="s">
        <v>69</v>
      </c>
      <c r="B17" s="106" t="s">
        <v>3</v>
      </c>
      <c r="C17" s="106"/>
      <c r="D17" s="93"/>
      <c r="E17" s="106"/>
      <c r="F17" s="94"/>
      <c r="G17" s="107"/>
      <c r="H17" s="107"/>
      <c r="I17" s="57"/>
      <c r="J17" s="21"/>
      <c r="K17" s="53"/>
      <c r="L17" s="52"/>
      <c r="M17" s="52"/>
      <c r="N17" s="52"/>
      <c r="O17" s="52"/>
    </row>
    <row r="18" spans="1:15" ht="15.5" x14ac:dyDescent="0.3">
      <c r="A18" s="108" t="s">
        <v>70</v>
      </c>
      <c r="B18" s="92" t="s">
        <v>3</v>
      </c>
      <c r="C18" s="92"/>
      <c r="D18" s="93"/>
      <c r="E18" s="92"/>
      <c r="F18" s="94"/>
      <c r="G18" s="107"/>
      <c r="H18" s="107"/>
      <c r="I18" s="57"/>
      <c r="J18" s="21"/>
      <c r="K18" s="52"/>
      <c r="L18" s="52"/>
      <c r="M18" s="52"/>
      <c r="N18" s="52"/>
      <c r="O18" s="52"/>
    </row>
    <row r="19" spans="1:15" ht="15.5" x14ac:dyDescent="0.3">
      <c r="A19" s="108" t="s">
        <v>71</v>
      </c>
      <c r="B19" s="92" t="s">
        <v>3</v>
      </c>
      <c r="C19" s="92"/>
      <c r="D19" s="93"/>
      <c r="E19" s="92"/>
      <c r="F19" s="94"/>
      <c r="G19" s="107"/>
      <c r="H19" s="107"/>
      <c r="I19" s="57"/>
      <c r="J19" s="21"/>
      <c r="K19" s="53"/>
      <c r="L19" s="52"/>
      <c r="M19" s="52"/>
      <c r="N19" s="52"/>
      <c r="O19" s="52"/>
    </row>
    <row r="20" spans="1:15" ht="15.5" x14ac:dyDescent="0.3">
      <c r="A20" s="108" t="s">
        <v>72</v>
      </c>
      <c r="B20" s="92" t="s">
        <v>3</v>
      </c>
      <c r="C20" s="92"/>
      <c r="D20" s="93"/>
      <c r="E20" s="92"/>
      <c r="F20" s="94"/>
      <c r="G20" s="107"/>
      <c r="H20" s="107"/>
      <c r="I20" s="57"/>
      <c r="J20" s="21"/>
      <c r="K20" s="53"/>
      <c r="L20" s="52"/>
      <c r="M20" s="52"/>
      <c r="N20" s="52"/>
      <c r="O20" s="52"/>
    </row>
    <row r="21" spans="1:15" x14ac:dyDescent="0.3">
      <c r="A21" s="104" t="s">
        <v>73</v>
      </c>
      <c r="B21" s="92" t="s">
        <v>3</v>
      </c>
      <c r="C21" s="92"/>
      <c r="D21" s="93"/>
      <c r="E21" s="92"/>
      <c r="F21" s="94"/>
      <c r="G21" s="86"/>
      <c r="H21" s="86"/>
      <c r="I21" s="57"/>
      <c r="J21" s="21"/>
      <c r="K21" s="53"/>
      <c r="L21" s="52"/>
      <c r="M21" s="52"/>
      <c r="N21" s="52"/>
      <c r="O21" s="52"/>
    </row>
    <row r="22" spans="1:15" ht="15.5" x14ac:dyDescent="0.3">
      <c r="A22" s="108" t="s">
        <v>74</v>
      </c>
      <c r="B22" s="92" t="s">
        <v>3</v>
      </c>
      <c r="C22" s="92"/>
      <c r="D22" s="93"/>
      <c r="E22" s="92"/>
      <c r="F22" s="94"/>
      <c r="G22" s="107"/>
      <c r="H22" s="107"/>
      <c r="I22" s="57"/>
      <c r="J22" s="21"/>
      <c r="K22" s="53"/>
      <c r="L22" s="52"/>
      <c r="M22" s="52"/>
      <c r="N22" s="52"/>
      <c r="O22" s="52"/>
    </row>
    <row r="23" spans="1:15" ht="15.5" x14ac:dyDescent="0.3">
      <c r="A23" s="99" t="s">
        <v>158</v>
      </c>
      <c r="B23" s="92">
        <v>2</v>
      </c>
      <c r="C23" s="92">
        <v>1</v>
      </c>
      <c r="D23" s="93">
        <f t="shared" si="0"/>
        <v>2</v>
      </c>
      <c r="E23" s="140">
        <v>0</v>
      </c>
      <c r="F23" s="94">
        <f t="shared" si="1"/>
        <v>0</v>
      </c>
      <c r="G23" s="86">
        <f t="shared" si="2"/>
        <v>0</v>
      </c>
      <c r="H23" s="86">
        <f t="shared" si="3"/>
        <v>0</v>
      </c>
      <c r="I23" s="57">
        <f>+$L$6*F23+$L$5*G23+$L$7*H23</f>
        <v>0</v>
      </c>
      <c r="J23" s="21"/>
      <c r="K23" s="52"/>
      <c r="L23" s="52"/>
      <c r="M23" s="52"/>
      <c r="N23" s="52"/>
      <c r="O23" s="52"/>
    </row>
    <row r="24" spans="1:15" x14ac:dyDescent="0.3">
      <c r="A24" s="108" t="s">
        <v>76</v>
      </c>
      <c r="B24" s="92" t="s">
        <v>3</v>
      </c>
      <c r="C24" s="92"/>
      <c r="D24" s="93"/>
      <c r="E24" s="92"/>
      <c r="F24" s="94"/>
      <c r="G24" s="86"/>
      <c r="H24" s="86"/>
      <c r="I24" s="57"/>
      <c r="J24" s="21"/>
      <c r="K24" s="52"/>
      <c r="L24" s="52"/>
      <c r="M24" s="52"/>
      <c r="N24" s="52"/>
      <c r="O24" s="52"/>
    </row>
    <row r="25" spans="1:15" ht="15.5" x14ac:dyDescent="0.3">
      <c r="A25" s="108" t="s">
        <v>77</v>
      </c>
      <c r="B25" s="92" t="s">
        <v>3</v>
      </c>
      <c r="C25" s="92"/>
      <c r="D25" s="93"/>
      <c r="E25" s="92"/>
      <c r="F25" s="94"/>
      <c r="G25" s="86"/>
      <c r="H25" s="86"/>
      <c r="I25" s="57"/>
      <c r="J25" s="21"/>
      <c r="K25" s="52"/>
      <c r="L25" s="52"/>
      <c r="M25" s="52"/>
      <c r="N25" s="52"/>
      <c r="O25" s="52"/>
    </row>
    <row r="26" spans="1:15" ht="15.5" x14ac:dyDescent="0.3">
      <c r="A26" s="108" t="s">
        <v>78</v>
      </c>
      <c r="B26" s="92" t="s">
        <v>3</v>
      </c>
      <c r="C26" s="92"/>
      <c r="D26" s="93"/>
      <c r="E26" s="92"/>
      <c r="F26" s="94"/>
      <c r="G26" s="86"/>
      <c r="H26" s="86"/>
      <c r="I26" s="57"/>
      <c r="J26" s="21"/>
      <c r="K26" s="53"/>
      <c r="L26" s="52"/>
      <c r="M26" s="52"/>
      <c r="N26" s="52"/>
      <c r="O26" s="52"/>
    </row>
    <row r="27" spans="1:15" ht="15.5" x14ac:dyDescent="0.3">
      <c r="A27" s="108" t="s">
        <v>79</v>
      </c>
      <c r="B27" s="92" t="s">
        <v>3</v>
      </c>
      <c r="C27" s="92"/>
      <c r="D27" s="93"/>
      <c r="E27" s="92"/>
      <c r="F27" s="94"/>
      <c r="G27" s="86"/>
      <c r="H27" s="86"/>
      <c r="I27" s="57"/>
      <c r="J27" s="22"/>
      <c r="K27" s="52"/>
      <c r="L27" s="52"/>
      <c r="M27" s="52"/>
      <c r="N27" s="52"/>
      <c r="O27" s="52"/>
    </row>
    <row r="28" spans="1:15" ht="15.5" x14ac:dyDescent="0.3">
      <c r="A28" s="104" t="s">
        <v>80</v>
      </c>
      <c r="B28" s="92" t="s">
        <v>3</v>
      </c>
      <c r="C28" s="92"/>
      <c r="D28" s="93"/>
      <c r="E28" s="92"/>
      <c r="F28" s="94"/>
      <c r="G28" s="107"/>
      <c r="H28" s="107"/>
      <c r="I28" s="57"/>
      <c r="J28" s="21"/>
      <c r="K28" s="53"/>
      <c r="L28" s="52"/>
      <c r="M28" s="52"/>
      <c r="N28" s="52"/>
      <c r="O28" s="52"/>
    </row>
    <row r="29" spans="1:15" x14ac:dyDescent="0.3">
      <c r="A29" s="108" t="s">
        <v>81</v>
      </c>
      <c r="B29" s="92" t="s">
        <v>3</v>
      </c>
      <c r="C29" s="92"/>
      <c r="D29" s="93"/>
      <c r="E29" s="92"/>
      <c r="F29" s="94"/>
      <c r="G29" s="86"/>
      <c r="H29" s="86"/>
      <c r="I29" s="57"/>
      <c r="J29" s="21"/>
      <c r="K29" s="53"/>
      <c r="L29" s="52"/>
      <c r="M29" s="52"/>
      <c r="N29" s="52"/>
      <c r="O29" s="52"/>
    </row>
    <row r="30" spans="1:15" ht="15.5" x14ac:dyDescent="0.3">
      <c r="A30" s="108" t="s">
        <v>82</v>
      </c>
      <c r="B30" s="92">
        <v>8</v>
      </c>
      <c r="C30" s="92">
        <v>2</v>
      </c>
      <c r="D30" s="93">
        <f t="shared" si="0"/>
        <v>16</v>
      </c>
      <c r="E30" s="92">
        <f>E8</f>
        <v>35</v>
      </c>
      <c r="F30" s="94">
        <f t="shared" si="1"/>
        <v>560</v>
      </c>
      <c r="G30" s="86">
        <f t="shared" si="2"/>
        <v>28</v>
      </c>
      <c r="H30" s="86">
        <f t="shared" si="3"/>
        <v>56</v>
      </c>
      <c r="I30" s="57">
        <f>+$L$6*F30+$L$5*G30+$L$7*H30</f>
        <v>65404.36</v>
      </c>
      <c r="J30" s="21"/>
      <c r="K30" s="53"/>
      <c r="L30" s="52"/>
      <c r="M30" s="52"/>
      <c r="N30" s="52"/>
      <c r="O30" s="52"/>
    </row>
    <row r="31" spans="1:15" ht="15.5" x14ac:dyDescent="0.3">
      <c r="A31" s="110" t="s">
        <v>83</v>
      </c>
      <c r="B31" s="106">
        <v>8</v>
      </c>
      <c r="C31" s="106">
        <v>1</v>
      </c>
      <c r="D31" s="93">
        <f t="shared" si="0"/>
        <v>8</v>
      </c>
      <c r="E31" s="140">
        <v>35</v>
      </c>
      <c r="F31" s="94">
        <f t="shared" si="1"/>
        <v>280</v>
      </c>
      <c r="G31" s="107">
        <f t="shared" si="2"/>
        <v>14</v>
      </c>
      <c r="H31" s="86">
        <f t="shared" si="3"/>
        <v>28</v>
      </c>
      <c r="I31" s="57">
        <f>+$L$6*F31+$L$5*G31+$L$7*H31</f>
        <v>32702.18</v>
      </c>
      <c r="J31" s="21"/>
      <c r="K31" s="53"/>
      <c r="L31" s="52"/>
      <c r="M31" s="52"/>
      <c r="N31" s="52"/>
      <c r="O31" s="52"/>
    </row>
    <row r="32" spans="1:15" x14ac:dyDescent="0.3">
      <c r="A32" s="111" t="s">
        <v>1</v>
      </c>
      <c r="B32" s="92"/>
      <c r="C32" s="92"/>
      <c r="D32" s="93"/>
      <c r="E32" s="92"/>
      <c r="F32" s="174">
        <f>SUM(F6:H31)</f>
        <v>1207.5</v>
      </c>
      <c r="G32" s="173"/>
      <c r="H32" s="173"/>
      <c r="I32" s="112">
        <f>SUM(I6:I31)</f>
        <v>122633.17499999999</v>
      </c>
      <c r="J32" s="22"/>
      <c r="K32" s="52"/>
      <c r="L32" s="52"/>
      <c r="M32" s="52"/>
      <c r="N32" s="52"/>
      <c r="O32" s="52"/>
    </row>
    <row r="33" spans="1:15" x14ac:dyDescent="0.3">
      <c r="A33" s="95" t="s">
        <v>84</v>
      </c>
      <c r="B33" s="96"/>
      <c r="C33" s="96"/>
      <c r="D33" s="93"/>
      <c r="E33" s="96"/>
      <c r="F33" s="94"/>
      <c r="G33" s="86"/>
      <c r="H33" s="86"/>
      <c r="I33" s="56"/>
      <c r="J33" s="21"/>
      <c r="K33" s="52"/>
      <c r="L33" s="52"/>
      <c r="M33" s="52"/>
      <c r="N33" s="52"/>
      <c r="O33" s="52"/>
    </row>
    <row r="34" spans="1:15" x14ac:dyDescent="0.3">
      <c r="A34" s="97" t="s">
        <v>85</v>
      </c>
      <c r="B34" s="92" t="s">
        <v>35</v>
      </c>
      <c r="C34" s="95"/>
      <c r="D34" s="93"/>
      <c r="E34" s="95"/>
      <c r="F34" s="94"/>
      <c r="G34" s="113"/>
      <c r="H34" s="113"/>
      <c r="I34" s="57"/>
      <c r="J34" s="21"/>
      <c r="K34" s="53"/>
      <c r="L34" s="52"/>
      <c r="M34" s="52"/>
      <c r="N34" s="52"/>
      <c r="O34" s="52"/>
    </row>
    <row r="35" spans="1:15" x14ac:dyDescent="0.3">
      <c r="A35" s="97" t="s">
        <v>86</v>
      </c>
      <c r="B35" s="92" t="s">
        <v>3</v>
      </c>
      <c r="C35" s="92"/>
      <c r="D35" s="93"/>
      <c r="E35" s="92"/>
      <c r="F35" s="94"/>
      <c r="G35" s="107"/>
      <c r="H35" s="107"/>
      <c r="I35" s="57"/>
      <c r="J35" s="21"/>
      <c r="K35" s="53"/>
      <c r="L35" s="52"/>
      <c r="M35" s="52"/>
      <c r="N35" s="52"/>
      <c r="O35" s="52"/>
    </row>
    <row r="36" spans="1:15" ht="15.5" x14ac:dyDescent="0.3">
      <c r="A36" s="97" t="s">
        <v>87</v>
      </c>
      <c r="B36" s="92" t="s">
        <v>3</v>
      </c>
      <c r="C36" s="92"/>
      <c r="D36" s="93"/>
      <c r="E36" s="92"/>
      <c r="F36" s="94"/>
      <c r="G36" s="107"/>
      <c r="H36" s="107"/>
      <c r="I36" s="57"/>
      <c r="J36" s="21"/>
      <c r="K36" s="52"/>
      <c r="L36" s="52"/>
      <c r="M36" s="52"/>
      <c r="N36" s="52"/>
      <c r="O36" s="52"/>
    </row>
    <row r="37" spans="1:15" x14ac:dyDescent="0.3">
      <c r="A37" s="97" t="s">
        <v>88</v>
      </c>
      <c r="B37" s="92" t="s">
        <v>3</v>
      </c>
      <c r="C37" s="92"/>
      <c r="D37" s="93"/>
      <c r="E37" s="92"/>
      <c r="F37" s="94"/>
      <c r="G37" s="107"/>
      <c r="H37" s="107"/>
      <c r="I37" s="57"/>
      <c r="J37" s="21"/>
      <c r="K37" s="53"/>
      <c r="L37" s="52"/>
      <c r="M37" s="52"/>
      <c r="N37" s="52"/>
      <c r="O37" s="52"/>
    </row>
    <row r="38" spans="1:15" x14ac:dyDescent="0.3">
      <c r="A38" s="97" t="s">
        <v>89</v>
      </c>
      <c r="B38" s="96"/>
      <c r="C38" s="96"/>
      <c r="D38" s="93"/>
      <c r="E38" s="96"/>
      <c r="F38" s="94"/>
      <c r="G38" s="107"/>
      <c r="H38" s="107"/>
      <c r="I38" s="57"/>
      <c r="J38" s="21"/>
      <c r="K38" s="52"/>
      <c r="L38" s="52"/>
      <c r="M38" s="52"/>
      <c r="N38" s="52"/>
      <c r="O38" s="52"/>
    </row>
    <row r="39" spans="1:15" ht="15.5" x14ac:dyDescent="0.3">
      <c r="A39" s="114" t="s">
        <v>90</v>
      </c>
      <c r="B39" s="92">
        <v>3</v>
      </c>
      <c r="C39" s="92">
        <v>52</v>
      </c>
      <c r="D39" s="93">
        <f t="shared" si="0"/>
        <v>156</v>
      </c>
      <c r="E39" s="92">
        <f>E8</f>
        <v>35</v>
      </c>
      <c r="F39" s="94">
        <f t="shared" ref="F39:F42" si="4">D39*E39</f>
        <v>5460</v>
      </c>
      <c r="G39" s="86">
        <f t="shared" ref="G39:G42" si="5">+F39*0.05</f>
        <v>273</v>
      </c>
      <c r="H39" s="86">
        <f t="shared" ref="H39:H42" si="6">+F39*0.1</f>
        <v>546</v>
      </c>
      <c r="I39" s="57">
        <f>+$L$6*F39+$L$5*G39+$L$7*H39</f>
        <v>637692.51</v>
      </c>
      <c r="J39" s="21"/>
      <c r="K39" s="53"/>
      <c r="L39" s="52"/>
      <c r="M39" s="52"/>
      <c r="N39" s="52"/>
      <c r="O39" s="52"/>
    </row>
    <row r="40" spans="1:15" ht="15.5" x14ac:dyDescent="0.3">
      <c r="A40" s="115" t="s">
        <v>91</v>
      </c>
      <c r="B40" s="106" t="s">
        <v>3</v>
      </c>
      <c r="C40" s="106"/>
      <c r="D40" s="93"/>
      <c r="E40" s="92"/>
      <c r="F40" s="94"/>
      <c r="G40" s="107"/>
      <c r="H40" s="107"/>
      <c r="I40" s="57"/>
      <c r="J40" s="21"/>
      <c r="K40" s="53"/>
      <c r="L40" s="52"/>
      <c r="M40" s="52"/>
      <c r="N40" s="52"/>
      <c r="O40" s="52"/>
    </row>
    <row r="41" spans="1:15" ht="15.5" x14ac:dyDescent="0.3">
      <c r="A41" s="116" t="s">
        <v>159</v>
      </c>
      <c r="B41" s="92" t="s">
        <v>3</v>
      </c>
      <c r="C41" s="92"/>
      <c r="D41" s="93"/>
      <c r="E41" s="85"/>
      <c r="F41" s="94"/>
      <c r="G41" s="107"/>
      <c r="H41" s="107"/>
      <c r="I41" s="57"/>
      <c r="J41" s="21"/>
      <c r="K41" s="52"/>
      <c r="L41" s="52"/>
    </row>
    <row r="42" spans="1:15" ht="15.5" x14ac:dyDescent="0.3">
      <c r="A42" s="97" t="s">
        <v>93</v>
      </c>
      <c r="B42" s="92">
        <v>0.25</v>
      </c>
      <c r="C42" s="92">
        <v>2</v>
      </c>
      <c r="D42" s="93">
        <f t="shared" si="0"/>
        <v>0.5</v>
      </c>
      <c r="E42" s="16">
        <v>35</v>
      </c>
      <c r="F42" s="94">
        <f t="shared" si="4"/>
        <v>17.5</v>
      </c>
      <c r="G42" s="107">
        <f t="shared" si="5"/>
        <v>0.875</v>
      </c>
      <c r="H42" s="107">
        <f t="shared" si="6"/>
        <v>1.75</v>
      </c>
      <c r="I42" s="57">
        <f>+$L$6*F42+$L$5*G42+$L$7*H42</f>
        <v>2043.88625</v>
      </c>
      <c r="J42" s="21"/>
      <c r="K42" s="52"/>
      <c r="L42" s="52"/>
    </row>
    <row r="43" spans="1:15" x14ac:dyDescent="0.3">
      <c r="A43" s="97" t="s">
        <v>94</v>
      </c>
      <c r="B43" s="92" t="s">
        <v>3</v>
      </c>
      <c r="C43" s="92"/>
      <c r="D43" s="93"/>
      <c r="E43" s="16"/>
      <c r="F43" s="94"/>
      <c r="G43" s="107"/>
      <c r="H43" s="107"/>
      <c r="I43" s="57"/>
      <c r="J43" s="21"/>
      <c r="K43" s="53"/>
      <c r="L43" s="52"/>
    </row>
    <row r="44" spans="1:15" x14ac:dyDescent="0.3">
      <c r="A44" s="117" t="s">
        <v>95</v>
      </c>
      <c r="B44" s="17"/>
      <c r="C44" s="17"/>
      <c r="D44" s="17"/>
      <c r="E44" s="17"/>
      <c r="F44" s="173">
        <f>SUM(F33:H43)</f>
        <v>6299.125</v>
      </c>
      <c r="G44" s="173"/>
      <c r="H44" s="173"/>
      <c r="I44" s="112">
        <f>SUM(I33:I43)</f>
        <v>639736.39624999999</v>
      </c>
      <c r="J44" s="27"/>
      <c r="K44" s="26"/>
      <c r="L44" s="52"/>
    </row>
    <row r="45" spans="1:15" ht="15" x14ac:dyDescent="0.3">
      <c r="A45" s="118" t="s">
        <v>96</v>
      </c>
      <c r="B45" s="119"/>
      <c r="C45" s="119"/>
      <c r="D45" s="119"/>
      <c r="E45" s="119"/>
      <c r="F45" s="175">
        <f>ROUND(SUM(F44+F32), -1)</f>
        <v>7510</v>
      </c>
      <c r="G45" s="175"/>
      <c r="H45" s="175"/>
      <c r="I45" s="120">
        <f>ROUND((I44+I32),-4)</f>
        <v>760000</v>
      </c>
      <c r="J45" s="23"/>
      <c r="K45" s="52"/>
      <c r="L45" s="52"/>
    </row>
    <row r="46" spans="1:15" ht="15" x14ac:dyDescent="0.3">
      <c r="A46" s="13" t="s">
        <v>97</v>
      </c>
      <c r="B46" s="17"/>
      <c r="C46" s="17"/>
      <c r="D46" s="17"/>
      <c r="E46" s="17"/>
      <c r="F46" s="17"/>
      <c r="G46" s="121"/>
      <c r="H46" s="113"/>
      <c r="I46" s="122">
        <v>335000</v>
      </c>
      <c r="J46" s="23"/>
      <c r="K46" s="52"/>
      <c r="L46" s="52"/>
    </row>
    <row r="47" spans="1:15" ht="15" x14ac:dyDescent="0.3">
      <c r="A47" s="12" t="s">
        <v>98</v>
      </c>
      <c r="B47" s="17"/>
      <c r="C47" s="17"/>
      <c r="D47" s="17"/>
      <c r="E47" s="17"/>
      <c r="F47" s="17"/>
      <c r="G47" s="121"/>
      <c r="H47" s="113"/>
      <c r="I47" s="122">
        <f>ROUND(I45+I46,-4)</f>
        <v>1100000</v>
      </c>
      <c r="J47" s="23"/>
      <c r="K47" s="52"/>
      <c r="L47" s="52"/>
    </row>
    <row r="48" spans="1:15" x14ac:dyDescent="0.3">
      <c r="A48" s="123"/>
      <c r="B48" s="124"/>
      <c r="C48" s="124"/>
      <c r="D48" s="124"/>
      <c r="E48" s="124"/>
      <c r="F48" s="124"/>
      <c r="G48" s="124"/>
      <c r="H48" s="125"/>
      <c r="I48" s="126"/>
      <c r="J48" s="23"/>
      <c r="K48" s="52"/>
      <c r="L48" s="52"/>
    </row>
    <row r="49" spans="1:12" x14ac:dyDescent="0.3">
      <c r="A49" s="127" t="s">
        <v>2</v>
      </c>
      <c r="B49" s="128"/>
      <c r="C49" s="128"/>
      <c r="D49" s="128"/>
      <c r="E49" s="128"/>
      <c r="F49" s="129"/>
      <c r="G49" s="125"/>
      <c r="H49" s="125"/>
      <c r="I49" s="126"/>
      <c r="J49" s="23"/>
      <c r="K49" s="52"/>
      <c r="L49" s="52"/>
    </row>
    <row r="50" spans="1:12" x14ac:dyDescent="0.3">
      <c r="A50" s="169" t="s">
        <v>152</v>
      </c>
      <c r="B50" s="169"/>
      <c r="C50" s="169"/>
      <c r="D50" s="169"/>
      <c r="E50" s="169"/>
      <c r="F50" s="169"/>
      <c r="G50" s="169"/>
      <c r="H50" s="169"/>
      <c r="I50" s="169"/>
      <c r="J50" s="23"/>
      <c r="K50" s="52"/>
      <c r="L50" s="52"/>
    </row>
    <row r="51" spans="1:12" x14ac:dyDescent="0.3">
      <c r="A51" s="169" t="s">
        <v>153</v>
      </c>
      <c r="B51" s="169"/>
      <c r="C51" s="169"/>
      <c r="D51" s="169"/>
      <c r="E51" s="169"/>
      <c r="F51" s="169"/>
      <c r="G51" s="169"/>
      <c r="H51" s="169"/>
      <c r="I51" s="169"/>
      <c r="J51" s="23"/>
      <c r="K51" s="52"/>
      <c r="L51" s="52"/>
    </row>
    <row r="52" spans="1:12" x14ac:dyDescent="0.3">
      <c r="A52" s="169" t="s">
        <v>151</v>
      </c>
      <c r="B52" s="169"/>
      <c r="C52" s="169"/>
      <c r="D52" s="169"/>
      <c r="E52" s="169"/>
      <c r="F52" s="169"/>
      <c r="G52" s="169"/>
      <c r="H52" s="169"/>
      <c r="I52" s="169"/>
      <c r="J52" s="23"/>
      <c r="K52" s="53"/>
      <c r="L52" s="52"/>
    </row>
    <row r="53" spans="1:12" x14ac:dyDescent="0.3">
      <c r="A53" s="169" t="s">
        <v>155</v>
      </c>
      <c r="B53" s="169"/>
      <c r="C53" s="169"/>
      <c r="D53" s="169"/>
      <c r="E53" s="169"/>
      <c r="F53" s="169"/>
      <c r="G53" s="169"/>
      <c r="H53" s="169"/>
      <c r="I53" s="169"/>
      <c r="J53" s="24"/>
      <c r="K53" s="24"/>
      <c r="L53" s="62"/>
    </row>
    <row r="54" spans="1:12" x14ac:dyDescent="0.3">
      <c r="A54" s="169" t="s">
        <v>156</v>
      </c>
      <c r="B54" s="169"/>
      <c r="C54" s="169"/>
      <c r="D54" s="169"/>
      <c r="E54" s="169"/>
      <c r="F54" s="169"/>
      <c r="G54" s="169"/>
      <c r="H54" s="169"/>
      <c r="I54" s="169"/>
      <c r="J54" s="25"/>
      <c r="K54" s="52"/>
      <c r="L54" s="52"/>
    </row>
    <row r="55" spans="1:12" x14ac:dyDescent="0.3">
      <c r="A55" s="165" t="s">
        <v>164</v>
      </c>
      <c r="B55" s="165"/>
      <c r="C55" s="165"/>
      <c r="D55" s="165"/>
      <c r="E55" s="165"/>
      <c r="F55" s="165"/>
      <c r="G55" s="165"/>
      <c r="H55" s="165"/>
      <c r="I55" s="165"/>
    </row>
    <row r="56" spans="1:12" x14ac:dyDescent="0.3">
      <c r="A56" s="165" t="s">
        <v>165</v>
      </c>
      <c r="B56" s="165"/>
      <c r="C56" s="165"/>
      <c r="D56" s="165"/>
      <c r="E56" s="165"/>
      <c r="F56" s="165"/>
      <c r="G56" s="165"/>
      <c r="H56" s="165"/>
      <c r="I56" s="165"/>
    </row>
    <row r="57" spans="1:12" x14ac:dyDescent="0.3">
      <c r="A57" s="165" t="s">
        <v>166</v>
      </c>
      <c r="B57" s="165"/>
      <c r="C57" s="165"/>
      <c r="D57" s="165"/>
      <c r="E57" s="165"/>
      <c r="F57" s="165"/>
      <c r="G57" s="165"/>
      <c r="H57" s="165"/>
      <c r="I57" s="165"/>
    </row>
    <row r="58" spans="1:12" x14ac:dyDescent="0.3">
      <c r="A58" s="165" t="s">
        <v>173</v>
      </c>
      <c r="B58" s="165"/>
      <c r="C58" s="165"/>
      <c r="D58" s="165"/>
      <c r="E58" s="165"/>
      <c r="F58" s="165"/>
      <c r="G58" s="165"/>
      <c r="H58" s="165"/>
      <c r="I58" s="165"/>
    </row>
    <row r="59" spans="1:12" x14ac:dyDescent="0.3">
      <c r="A59" s="165" t="s">
        <v>168</v>
      </c>
      <c r="B59" s="165"/>
      <c r="C59" s="165"/>
      <c r="D59" s="165"/>
      <c r="E59" s="165"/>
      <c r="F59" s="165"/>
      <c r="G59" s="165"/>
      <c r="H59" s="165"/>
      <c r="I59" s="165"/>
    </row>
    <row r="60" spans="1:12" x14ac:dyDescent="0.3">
      <c r="A60" s="165" t="s">
        <v>174</v>
      </c>
      <c r="B60" s="165"/>
      <c r="C60" s="165"/>
      <c r="D60" s="165"/>
      <c r="E60" s="165"/>
      <c r="F60" s="165"/>
      <c r="G60" s="165"/>
      <c r="H60" s="165"/>
      <c r="I60" s="165"/>
    </row>
    <row r="61" spans="1:12" x14ac:dyDescent="0.3">
      <c r="A61" s="165" t="s">
        <v>175</v>
      </c>
      <c r="B61" s="165"/>
      <c r="C61" s="165"/>
      <c r="D61" s="165"/>
      <c r="E61" s="165"/>
      <c r="F61" s="165"/>
      <c r="G61" s="165"/>
      <c r="H61" s="165"/>
      <c r="I61" s="165"/>
    </row>
    <row r="62" spans="1:12" x14ac:dyDescent="0.3">
      <c r="A62" s="165" t="s">
        <v>171</v>
      </c>
      <c r="B62" s="165"/>
      <c r="C62" s="165"/>
      <c r="D62" s="165"/>
      <c r="E62" s="165"/>
      <c r="F62" s="165"/>
      <c r="G62" s="165"/>
      <c r="H62" s="165"/>
      <c r="I62" s="165"/>
    </row>
    <row r="63" spans="1:12" x14ac:dyDescent="0.3">
      <c r="A63" s="165" t="s">
        <v>172</v>
      </c>
      <c r="B63" s="165"/>
      <c r="C63" s="165"/>
      <c r="D63" s="165"/>
      <c r="E63" s="165"/>
      <c r="F63" s="165"/>
      <c r="G63" s="165"/>
      <c r="H63" s="165"/>
      <c r="I63" s="165"/>
    </row>
  </sheetData>
  <mergeCells count="18">
    <mergeCell ref="K4:L4"/>
    <mergeCell ref="F32:H32"/>
    <mergeCell ref="F44:H44"/>
    <mergeCell ref="F45:H45"/>
    <mergeCell ref="A50:I50"/>
    <mergeCell ref="A51:I51"/>
    <mergeCell ref="A52:I52"/>
    <mergeCell ref="A53:I53"/>
    <mergeCell ref="A54:I54"/>
    <mergeCell ref="A55:I55"/>
    <mergeCell ref="A56:I56"/>
    <mergeCell ref="A57:I57"/>
    <mergeCell ref="A63:I63"/>
    <mergeCell ref="A58:I58"/>
    <mergeCell ref="A59:I59"/>
    <mergeCell ref="A60:I60"/>
    <mergeCell ref="A61:I61"/>
    <mergeCell ref="A62:I6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8"/>
  <sheetViews>
    <sheetView workbookViewId="0">
      <selection activeCell="F8" sqref="F8"/>
    </sheetView>
  </sheetViews>
  <sheetFormatPr defaultColWidth="9.1796875" defaultRowHeight="14" x14ac:dyDescent="0.3"/>
  <cols>
    <col min="1" max="1" width="9.1796875" style="29"/>
    <col min="2" max="2" width="13" style="29" customWidth="1"/>
    <col min="3" max="3" width="12.81640625" style="29" customWidth="1"/>
    <col min="4" max="4" width="12" style="29" customWidth="1"/>
    <col min="5" max="5" width="14.1796875" style="29" customWidth="1"/>
    <col min="6" max="6" width="14.54296875" style="29" customWidth="1"/>
    <col min="7" max="7" width="15.7265625" style="29" customWidth="1"/>
    <col min="8" max="8" width="12.1796875" style="29" customWidth="1"/>
    <col min="9" max="16384" width="9.1796875" style="29"/>
  </cols>
  <sheetData>
    <row r="1" spans="1:8" ht="16.5" customHeight="1" x14ac:dyDescent="0.3">
      <c r="A1" s="64" t="s">
        <v>181</v>
      </c>
      <c r="B1" s="63"/>
      <c r="C1" s="63"/>
      <c r="D1" s="63"/>
      <c r="E1" s="63"/>
      <c r="F1" s="63"/>
      <c r="G1" s="63"/>
      <c r="H1" s="63"/>
    </row>
    <row r="2" spans="1:8" ht="15" x14ac:dyDescent="0.3">
      <c r="A2" s="63"/>
      <c r="B2" s="63"/>
      <c r="C2" s="63"/>
      <c r="D2" s="63"/>
      <c r="E2" s="63"/>
      <c r="F2" s="63"/>
      <c r="G2" s="63"/>
      <c r="H2" s="63"/>
    </row>
    <row r="3" spans="1:8" ht="39" x14ac:dyDescent="0.3">
      <c r="A3" s="69" t="s">
        <v>20</v>
      </c>
      <c r="B3" s="70" t="s">
        <v>21</v>
      </c>
      <c r="C3" s="70" t="s">
        <v>23</v>
      </c>
      <c r="D3" s="70" t="s">
        <v>22</v>
      </c>
      <c r="E3" s="70" t="s">
        <v>24</v>
      </c>
      <c r="F3" s="70" t="s">
        <v>25</v>
      </c>
      <c r="G3" s="71" t="s">
        <v>30</v>
      </c>
      <c r="H3" s="70" t="s">
        <v>26</v>
      </c>
    </row>
    <row r="4" spans="1:8" x14ac:dyDescent="0.3">
      <c r="A4" s="72">
        <v>1</v>
      </c>
      <c r="B4" s="73">
        <f>SUM('TBL1-ResY1'!F4:F31)+SUM('TBL1-ResY1'!F33:F43)</f>
        <v>8837.5</v>
      </c>
      <c r="C4" s="73">
        <f>SUM('TBL1-ResY1'!G4:G31)+SUM('TBL1-ResY1'!G33:G43)</f>
        <v>441.875</v>
      </c>
      <c r="D4" s="73">
        <f>SUM('TBL1-ResY1'!H4:H31)+SUM('TBL1-ResY1'!H33:H43)</f>
        <v>883.75</v>
      </c>
      <c r="E4" s="73">
        <f>SUM(B4:D4)</f>
        <v>10163.125</v>
      </c>
      <c r="F4" s="74">
        <f>'TBL1-ResY1'!I45</f>
        <v>1030000</v>
      </c>
      <c r="G4" s="74">
        <f>'TBL1-ResY1'!I46</f>
        <v>335000</v>
      </c>
      <c r="H4" s="74">
        <f>'TBL1-ResY1'!I47</f>
        <v>1370000</v>
      </c>
    </row>
    <row r="5" spans="1:8" x14ac:dyDescent="0.3">
      <c r="A5" s="72">
        <v>2</v>
      </c>
      <c r="B5" s="73">
        <f>SUM('TBL2-ResY2'!F4:F31)+SUM('TBL2-ResY2'!F33:F43)</f>
        <v>6527.5</v>
      </c>
      <c r="C5" s="73">
        <f>SUM('TBL2-ResY2'!G4:G31)+SUM('TBL2-ResY2'!G33:G43)</f>
        <v>326.375</v>
      </c>
      <c r="D5" s="73">
        <f>SUM('TBL2-ResY2'!H4:H31)+SUM('TBL2-ResY2'!H33:H43)</f>
        <v>652.75</v>
      </c>
      <c r="E5" s="73">
        <f>SUM(B5:D5)</f>
        <v>7506.625</v>
      </c>
      <c r="F5" s="74">
        <f>'TBL2-ResY2'!I45</f>
        <v>760000</v>
      </c>
      <c r="G5" s="74">
        <f>'TBL2-ResY2'!I46</f>
        <v>335000</v>
      </c>
      <c r="H5" s="74">
        <f>'TBL2-ResY2'!I47</f>
        <v>1100000</v>
      </c>
    </row>
    <row r="6" spans="1:8" ht="14.5" thickBot="1" x14ac:dyDescent="0.35">
      <c r="A6" s="84">
        <v>3</v>
      </c>
      <c r="B6" s="79">
        <f>SUM('TBL3-ResY3'!F4:F31)+SUM('TBL3-ResY3'!F33:F43)</f>
        <v>6527.5</v>
      </c>
      <c r="C6" s="79">
        <f>SUM('TBL3-ResY3'!G4:G31)+SUM('TBL3-ResY3'!G33:G43)</f>
        <v>326.375</v>
      </c>
      <c r="D6" s="79">
        <f>SUM('TBL3-ResY3'!H4:H31)+SUM('TBL3-ResY3'!H33:H43)</f>
        <v>652.75</v>
      </c>
      <c r="E6" s="79">
        <f>SUM(B6:D6)</f>
        <v>7506.625</v>
      </c>
      <c r="F6" s="80">
        <f>'TBL3-ResY3'!I45</f>
        <v>760000</v>
      </c>
      <c r="G6" s="80">
        <f>'TBL3-ResY3'!I46</f>
        <v>335000</v>
      </c>
      <c r="H6" s="80">
        <f>'TBL3-ResY3'!I47</f>
        <v>1100000</v>
      </c>
    </row>
    <row r="7" spans="1:8" ht="14.5" thickTop="1" x14ac:dyDescent="0.3">
      <c r="A7" s="83" t="s">
        <v>18</v>
      </c>
      <c r="B7" s="77">
        <f t="shared" ref="B7:G7" si="0">SUM(B4:B6)</f>
        <v>21892.5</v>
      </c>
      <c r="C7" s="77">
        <f>SUM(C4:C6)</f>
        <v>1094.625</v>
      </c>
      <c r="D7" s="77">
        <f t="shared" si="0"/>
        <v>2189.25</v>
      </c>
      <c r="E7" s="77">
        <f>SUM(E4:E6)</f>
        <v>25176.375</v>
      </c>
      <c r="F7" s="78">
        <f>SUM(F4:F6)</f>
        <v>2550000</v>
      </c>
      <c r="G7" s="78">
        <f t="shared" si="0"/>
        <v>1005000</v>
      </c>
      <c r="H7" s="78">
        <f>SUM(H4:H6)</f>
        <v>3570000</v>
      </c>
    </row>
    <row r="8" spans="1:8" x14ac:dyDescent="0.3">
      <c r="A8" s="72" t="s">
        <v>27</v>
      </c>
      <c r="B8" s="73">
        <f>AVERAGE(B4:B6)</f>
        <v>7297.5</v>
      </c>
      <c r="C8" s="73">
        <f>AVERAGE(C4:C6)</f>
        <v>364.875</v>
      </c>
      <c r="D8" s="73">
        <f>AVERAGE(D4:D6)</f>
        <v>729.75</v>
      </c>
      <c r="E8" s="73">
        <f>AVERAGE(E4:E6)</f>
        <v>8392.125</v>
      </c>
      <c r="F8" s="75">
        <f>ROUND(AVERAGE(F4:F6),-2)</f>
        <v>850000</v>
      </c>
      <c r="G8" s="74">
        <f>ROUND(AVERAGE(G4:G6),-3)</f>
        <v>335000</v>
      </c>
      <c r="H8" s="74">
        <f>ROUND(AVERAGE(H4:H6),-3)</f>
        <v>1190000</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8"/>
  <sheetViews>
    <sheetView zoomScaleNormal="100" workbookViewId="0"/>
  </sheetViews>
  <sheetFormatPr defaultColWidth="9.1796875" defaultRowHeight="14" x14ac:dyDescent="0.3"/>
  <cols>
    <col min="1" max="1" width="68.81640625" style="60" bestFit="1" customWidth="1"/>
    <col min="2" max="2" width="10.26953125" style="60" customWidth="1"/>
    <col min="3" max="3" width="11.26953125" style="60" customWidth="1"/>
    <col min="4" max="4" width="10.26953125" style="60" customWidth="1"/>
    <col min="5" max="5" width="11.81640625" style="60" customWidth="1"/>
    <col min="6" max="8" width="10.26953125" style="60" customWidth="1"/>
    <col min="9" max="10" width="13" style="60" customWidth="1"/>
    <col min="11" max="11" width="13.7265625" style="60" bestFit="1" customWidth="1"/>
    <col min="12" max="16384" width="9.1796875" style="60"/>
  </cols>
  <sheetData>
    <row r="1" spans="1:12" ht="15" x14ac:dyDescent="0.3">
      <c r="A1" s="3" t="s">
        <v>182</v>
      </c>
      <c r="B1" s="29"/>
      <c r="C1" s="29"/>
      <c r="D1" s="29"/>
      <c r="E1" s="29"/>
      <c r="F1" s="29"/>
      <c r="G1" s="29"/>
      <c r="H1" s="29"/>
      <c r="I1" s="29"/>
    </row>
    <row r="2" spans="1:12" ht="15.5" x14ac:dyDescent="0.3">
      <c r="A2" s="2"/>
      <c r="B2" s="29"/>
      <c r="C2" s="29"/>
      <c r="D2" s="29"/>
      <c r="E2" s="29"/>
      <c r="F2" s="29"/>
      <c r="G2" s="29"/>
      <c r="H2" s="29"/>
      <c r="I2" s="29"/>
    </row>
    <row r="3" spans="1:12" ht="78" x14ac:dyDescent="0.3">
      <c r="A3" s="119" t="s">
        <v>4</v>
      </c>
      <c r="B3" s="59" t="s">
        <v>120</v>
      </c>
      <c r="C3" s="59" t="s">
        <v>121</v>
      </c>
      <c r="D3" s="87" t="s">
        <v>122</v>
      </c>
      <c r="E3" s="87" t="s">
        <v>123</v>
      </c>
      <c r="F3" s="87" t="s">
        <v>52</v>
      </c>
      <c r="G3" s="87" t="s">
        <v>53</v>
      </c>
      <c r="H3" s="87" t="s">
        <v>124</v>
      </c>
      <c r="I3" s="87" t="s">
        <v>55</v>
      </c>
      <c r="J3" s="124"/>
      <c r="K3" s="124"/>
      <c r="L3" s="124"/>
    </row>
    <row r="4" spans="1:12" ht="15.5" x14ac:dyDescent="0.3">
      <c r="A4" s="95" t="s">
        <v>125</v>
      </c>
      <c r="B4" s="92">
        <v>40</v>
      </c>
      <c r="C4" s="92">
        <v>1</v>
      </c>
      <c r="D4" s="93">
        <f>B4*C4</f>
        <v>40</v>
      </c>
      <c r="E4" s="92">
        <v>35</v>
      </c>
      <c r="F4" s="130">
        <f>E4*D4</f>
        <v>1400</v>
      </c>
      <c r="G4" s="16">
        <f>F4*0.05</f>
        <v>70</v>
      </c>
      <c r="H4" s="16">
        <f>F4*0.1</f>
        <v>140</v>
      </c>
      <c r="I4" s="57">
        <f>$L$6*F4+$L$5*G4+$L$7*H4</f>
        <v>80451</v>
      </c>
      <c r="J4" s="124"/>
      <c r="K4" s="176" t="s">
        <v>126</v>
      </c>
      <c r="L4" s="177"/>
    </row>
    <row r="5" spans="1:12" ht="15.5" x14ac:dyDescent="0.3">
      <c r="A5" s="91" t="s">
        <v>127</v>
      </c>
      <c r="B5" s="92" t="s">
        <v>3</v>
      </c>
      <c r="C5" s="92"/>
      <c r="D5" s="93"/>
      <c r="E5" s="92"/>
      <c r="F5" s="131"/>
      <c r="G5" s="16"/>
      <c r="H5" s="132"/>
      <c r="I5" s="57"/>
      <c r="J5" s="124"/>
      <c r="K5" s="133" t="s">
        <v>128</v>
      </c>
      <c r="L5" s="134">
        <f>Inputs!D16</f>
        <v>69.040000000000006</v>
      </c>
    </row>
    <row r="6" spans="1:12" ht="15.5" x14ac:dyDescent="0.3">
      <c r="A6" s="95" t="s">
        <v>129</v>
      </c>
      <c r="B6" s="92" t="s">
        <v>3</v>
      </c>
      <c r="C6" s="92"/>
      <c r="D6" s="93"/>
      <c r="E6" s="9"/>
      <c r="F6" s="130"/>
      <c r="G6" s="135"/>
      <c r="H6" s="135"/>
      <c r="I6" s="57"/>
      <c r="J6" s="124"/>
      <c r="K6" s="133" t="s">
        <v>15</v>
      </c>
      <c r="L6" s="134">
        <f>Inputs!D15</f>
        <v>51.239999999999995</v>
      </c>
    </row>
    <row r="7" spans="1:12" x14ac:dyDescent="0.3">
      <c r="A7" s="95" t="s">
        <v>130</v>
      </c>
      <c r="B7" s="98"/>
      <c r="C7" s="98"/>
      <c r="D7" s="93"/>
      <c r="E7" s="98"/>
      <c r="F7" s="130"/>
      <c r="G7" s="16"/>
      <c r="H7" s="16"/>
      <c r="I7" s="57"/>
      <c r="J7" s="124"/>
      <c r="K7" s="133" t="s">
        <v>14</v>
      </c>
      <c r="L7" s="134">
        <f>Inputs!D17</f>
        <v>27.73</v>
      </c>
    </row>
    <row r="8" spans="1:12" x14ac:dyDescent="0.3">
      <c r="A8" s="136" t="s">
        <v>131</v>
      </c>
      <c r="B8" s="92" t="s">
        <v>3</v>
      </c>
      <c r="C8" s="92"/>
      <c r="D8" s="93"/>
      <c r="E8" s="92"/>
      <c r="F8" s="130"/>
      <c r="G8" s="16"/>
      <c r="H8" s="16"/>
      <c r="I8" s="57"/>
      <c r="J8" s="124"/>
      <c r="K8" s="124"/>
      <c r="L8" s="124"/>
    </row>
    <row r="9" spans="1:12" x14ac:dyDescent="0.3">
      <c r="A9" s="136" t="s">
        <v>132</v>
      </c>
      <c r="B9" s="92" t="s">
        <v>3</v>
      </c>
      <c r="C9" s="92"/>
      <c r="D9" s="93"/>
      <c r="E9" s="92"/>
      <c r="F9" s="130"/>
      <c r="G9" s="16"/>
      <c r="H9" s="16"/>
      <c r="I9" s="57"/>
      <c r="J9" s="124"/>
      <c r="K9" s="124"/>
      <c r="L9" s="124"/>
    </row>
    <row r="10" spans="1:12" x14ac:dyDescent="0.3">
      <c r="A10" s="136" t="s">
        <v>133</v>
      </c>
      <c r="B10" s="92" t="s">
        <v>3</v>
      </c>
      <c r="C10" s="92"/>
      <c r="D10" s="93"/>
      <c r="E10" s="92"/>
      <c r="F10" s="130"/>
      <c r="G10" s="16"/>
      <c r="H10" s="16"/>
      <c r="I10" s="57"/>
      <c r="J10" s="124"/>
      <c r="K10" s="124"/>
      <c r="L10" s="124"/>
    </row>
    <row r="11" spans="1:12" x14ac:dyDescent="0.3">
      <c r="A11" s="136" t="s">
        <v>134</v>
      </c>
      <c r="B11" s="92" t="s">
        <v>3</v>
      </c>
      <c r="C11" s="92"/>
      <c r="D11" s="93"/>
      <c r="E11" s="92"/>
      <c r="F11" s="130"/>
      <c r="G11" s="16"/>
      <c r="H11" s="16"/>
      <c r="I11" s="57"/>
      <c r="J11" s="124"/>
      <c r="K11" s="124"/>
      <c r="L11" s="124"/>
    </row>
    <row r="12" spans="1:12" x14ac:dyDescent="0.3">
      <c r="A12" s="114" t="s">
        <v>73</v>
      </c>
      <c r="B12" s="92" t="s">
        <v>3</v>
      </c>
      <c r="C12" s="92"/>
      <c r="D12" s="93"/>
      <c r="E12" s="92"/>
      <c r="F12" s="130"/>
      <c r="G12" s="16"/>
      <c r="H12" s="16"/>
      <c r="I12" s="57"/>
      <c r="J12" s="124"/>
      <c r="K12" s="124"/>
      <c r="L12" s="124"/>
    </row>
    <row r="13" spans="1:12" x14ac:dyDescent="0.3">
      <c r="A13" s="136" t="s">
        <v>135</v>
      </c>
      <c r="B13" s="92">
        <v>1</v>
      </c>
      <c r="C13" s="92">
        <v>1</v>
      </c>
      <c r="D13" s="93">
        <f t="shared" ref="D13:D18" si="0">B13*C13</f>
        <v>1</v>
      </c>
      <c r="E13" s="92">
        <f>E4</f>
        <v>35</v>
      </c>
      <c r="F13" s="130">
        <f t="shared" ref="F13:F18" si="1">E13*D13</f>
        <v>35</v>
      </c>
      <c r="G13" s="16">
        <f t="shared" ref="G13:G18" si="2">F13*0.05</f>
        <v>1.75</v>
      </c>
      <c r="H13" s="16">
        <f t="shared" ref="H13:H18" si="3">F13*0.1</f>
        <v>3.5</v>
      </c>
      <c r="I13" s="57">
        <f t="shared" ref="I13:I18" si="4">$L$6*F13+$L$5*G13+$L$7*H13</f>
        <v>2011.2749999999999</v>
      </c>
      <c r="J13" s="124"/>
      <c r="K13" s="124"/>
      <c r="L13" s="124"/>
    </row>
    <row r="14" spans="1:12" x14ac:dyDescent="0.3">
      <c r="A14" s="114" t="s">
        <v>136</v>
      </c>
      <c r="B14" s="92">
        <v>4</v>
      </c>
      <c r="C14" s="92">
        <v>1</v>
      </c>
      <c r="D14" s="93">
        <f t="shared" si="0"/>
        <v>4</v>
      </c>
      <c r="E14" s="92">
        <v>35</v>
      </c>
      <c r="F14" s="130">
        <f t="shared" si="1"/>
        <v>140</v>
      </c>
      <c r="G14" s="16">
        <f t="shared" si="2"/>
        <v>7</v>
      </c>
      <c r="H14" s="16">
        <f t="shared" si="3"/>
        <v>14</v>
      </c>
      <c r="I14" s="57">
        <f t="shared" si="4"/>
        <v>8045.0999999999995</v>
      </c>
      <c r="J14" s="124"/>
      <c r="K14" s="124"/>
      <c r="L14" s="124"/>
    </row>
    <row r="15" spans="1:12" ht="15.5" x14ac:dyDescent="0.3">
      <c r="A15" s="137" t="s">
        <v>137</v>
      </c>
      <c r="B15" s="92" t="s">
        <v>3</v>
      </c>
      <c r="C15" s="92"/>
      <c r="D15" s="93"/>
      <c r="E15" s="109"/>
      <c r="F15" s="131"/>
      <c r="G15" s="132"/>
      <c r="H15" s="132"/>
      <c r="I15" s="57"/>
      <c r="J15" s="124"/>
      <c r="K15" s="124"/>
      <c r="L15" s="124"/>
    </row>
    <row r="16" spans="1:12" x14ac:dyDescent="0.3">
      <c r="A16" s="136" t="s">
        <v>138</v>
      </c>
      <c r="B16" s="92">
        <v>4</v>
      </c>
      <c r="C16" s="92">
        <v>2</v>
      </c>
      <c r="D16" s="93">
        <f t="shared" si="0"/>
        <v>8</v>
      </c>
      <c r="E16" s="92">
        <v>35</v>
      </c>
      <c r="F16" s="130">
        <f t="shared" si="1"/>
        <v>280</v>
      </c>
      <c r="G16" s="135">
        <f t="shared" si="2"/>
        <v>14</v>
      </c>
      <c r="H16" s="135">
        <f t="shared" si="3"/>
        <v>28</v>
      </c>
      <c r="I16" s="57">
        <f t="shared" si="4"/>
        <v>16090.199999999999</v>
      </c>
      <c r="J16" s="124"/>
      <c r="K16" s="124"/>
      <c r="L16" s="124"/>
    </row>
    <row r="17" spans="1:12" x14ac:dyDescent="0.3">
      <c r="A17" s="136" t="s">
        <v>139</v>
      </c>
      <c r="B17" s="92" t="s">
        <v>3</v>
      </c>
      <c r="C17" s="92"/>
      <c r="D17" s="93"/>
      <c r="E17" s="92"/>
      <c r="F17" s="130"/>
      <c r="G17" s="16"/>
      <c r="H17" s="16"/>
      <c r="I17" s="57"/>
      <c r="J17" s="124"/>
      <c r="K17" s="124"/>
      <c r="L17" s="124"/>
    </row>
    <row r="18" spans="1:12" ht="15.5" x14ac:dyDescent="0.3">
      <c r="A18" s="114" t="s">
        <v>140</v>
      </c>
      <c r="B18" s="92">
        <v>4</v>
      </c>
      <c r="C18" s="92">
        <v>1</v>
      </c>
      <c r="D18" s="93">
        <f t="shared" si="0"/>
        <v>4</v>
      </c>
      <c r="E18" s="109">
        <v>35</v>
      </c>
      <c r="F18" s="130">
        <f t="shared" si="1"/>
        <v>140</v>
      </c>
      <c r="G18" s="16">
        <f t="shared" si="2"/>
        <v>7</v>
      </c>
      <c r="H18" s="16">
        <f t="shared" si="3"/>
        <v>14</v>
      </c>
      <c r="I18" s="57">
        <f t="shared" si="4"/>
        <v>8045.0999999999995</v>
      </c>
      <c r="J18" s="124"/>
      <c r="K18" s="124"/>
      <c r="L18" s="124"/>
    </row>
    <row r="19" spans="1:12" ht="15" x14ac:dyDescent="0.3">
      <c r="A19" s="138" t="s">
        <v>141</v>
      </c>
      <c r="B19" s="121"/>
      <c r="C19" s="121"/>
      <c r="D19" s="16"/>
      <c r="E19" s="121"/>
      <c r="F19" s="168">
        <f>ROUND(SUM(F4:H18), -1)</f>
        <v>2290</v>
      </c>
      <c r="G19" s="168"/>
      <c r="H19" s="168"/>
      <c r="I19" s="139">
        <f>ROUND(SUM(I4:I18),-2)</f>
        <v>114600</v>
      </c>
      <c r="J19" s="124"/>
      <c r="K19" s="124"/>
      <c r="L19" s="124"/>
    </row>
    <row r="20" spans="1:12" x14ac:dyDescent="0.3">
      <c r="A20" s="124"/>
      <c r="B20" s="124"/>
      <c r="C20" s="124"/>
      <c r="D20" s="124"/>
      <c r="E20" s="124"/>
      <c r="F20" s="124"/>
      <c r="G20" s="124"/>
      <c r="H20" s="124"/>
      <c r="I20" s="124"/>
      <c r="J20" s="124"/>
      <c r="K20" s="124"/>
      <c r="L20" s="124"/>
    </row>
    <row r="21" spans="1:12" x14ac:dyDescent="0.3">
      <c r="A21" s="14" t="s">
        <v>2</v>
      </c>
      <c r="B21" s="124"/>
      <c r="C21" s="124"/>
      <c r="D21" s="124"/>
      <c r="E21" s="124"/>
      <c r="F21" s="124"/>
      <c r="G21" s="124"/>
      <c r="H21" s="124"/>
      <c r="I21" s="124"/>
      <c r="J21" s="124"/>
      <c r="K21" s="124"/>
      <c r="L21" s="124"/>
    </row>
    <row r="22" spans="1:12" x14ac:dyDescent="0.3">
      <c r="A22" s="169" t="s">
        <v>160</v>
      </c>
      <c r="B22" s="169"/>
      <c r="C22" s="169"/>
      <c r="D22" s="169"/>
      <c r="E22" s="169"/>
      <c r="F22" s="169"/>
      <c r="G22" s="169"/>
      <c r="H22" s="169"/>
      <c r="I22" s="169"/>
      <c r="J22" s="124"/>
      <c r="K22" s="124"/>
      <c r="L22" s="124"/>
    </row>
    <row r="23" spans="1:12" ht="27.75" customHeight="1" x14ac:dyDescent="0.3">
      <c r="A23" s="169" t="s">
        <v>161</v>
      </c>
      <c r="B23" s="169"/>
      <c r="C23" s="169"/>
      <c r="D23" s="169"/>
      <c r="E23" s="169"/>
      <c r="F23" s="169"/>
      <c r="G23" s="169"/>
      <c r="H23" s="169"/>
      <c r="I23" s="169"/>
      <c r="J23" s="124"/>
      <c r="K23" s="124"/>
      <c r="L23" s="124"/>
    </row>
    <row r="24" spans="1:12" x14ac:dyDescent="0.3">
      <c r="A24" s="169" t="s">
        <v>162</v>
      </c>
      <c r="B24" s="169"/>
      <c r="C24" s="169"/>
      <c r="D24" s="169"/>
      <c r="E24" s="169"/>
      <c r="F24" s="169"/>
      <c r="G24" s="169"/>
      <c r="H24" s="169"/>
      <c r="I24" s="169"/>
      <c r="J24" s="124"/>
      <c r="K24" s="124"/>
      <c r="L24" s="124"/>
    </row>
    <row r="25" spans="1:12" x14ac:dyDescent="0.3">
      <c r="A25" s="169" t="s">
        <v>163</v>
      </c>
      <c r="B25" s="169"/>
      <c r="C25" s="169"/>
      <c r="D25" s="169"/>
      <c r="E25" s="169"/>
      <c r="F25" s="169"/>
      <c r="G25" s="169"/>
      <c r="H25" s="169"/>
      <c r="I25" s="169"/>
      <c r="J25" s="124"/>
      <c r="K25" s="124"/>
      <c r="L25" s="124"/>
    </row>
    <row r="26" spans="1:12" x14ac:dyDescent="0.3">
      <c r="A26" s="165" t="s">
        <v>146</v>
      </c>
      <c r="B26" s="165"/>
      <c r="C26" s="165"/>
      <c r="D26" s="165"/>
      <c r="E26" s="165"/>
      <c r="F26" s="165"/>
      <c r="G26" s="165"/>
      <c r="H26" s="165"/>
      <c r="I26" s="165"/>
      <c r="J26" s="124"/>
      <c r="K26" s="124"/>
      <c r="L26" s="124"/>
    </row>
    <row r="27" spans="1:12" x14ac:dyDescent="0.3">
      <c r="A27" s="165" t="s">
        <v>176</v>
      </c>
      <c r="B27" s="165"/>
      <c r="C27" s="165"/>
      <c r="D27" s="165"/>
      <c r="E27" s="165"/>
      <c r="F27" s="165"/>
      <c r="G27" s="165"/>
      <c r="H27" s="165"/>
      <c r="I27" s="165"/>
      <c r="J27" s="124"/>
      <c r="K27" s="124"/>
      <c r="L27" s="124"/>
    </row>
    <row r="28" spans="1:12" ht="15.5" x14ac:dyDescent="0.3">
      <c r="A28" s="2"/>
      <c r="B28" s="29"/>
      <c r="C28" s="29"/>
      <c r="D28" s="29"/>
      <c r="E28" s="29"/>
      <c r="F28" s="29"/>
      <c r="G28" s="29"/>
      <c r="H28" s="29"/>
      <c r="I28" s="29"/>
    </row>
  </sheetData>
  <mergeCells count="8">
    <mergeCell ref="A27:I27"/>
    <mergeCell ref="F19:H19"/>
    <mergeCell ref="A23:I23"/>
    <mergeCell ref="K4:L4"/>
    <mergeCell ref="A22:I22"/>
    <mergeCell ref="A24:I24"/>
    <mergeCell ref="A25:I25"/>
    <mergeCell ref="A26:I26"/>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0"/>
  <sheetViews>
    <sheetView zoomScaleNormal="100" workbookViewId="0"/>
  </sheetViews>
  <sheetFormatPr defaultColWidth="9.1796875" defaultRowHeight="14" x14ac:dyDescent="0.3"/>
  <cols>
    <col min="1" max="1" width="68.81640625" style="60" bestFit="1" customWidth="1"/>
    <col min="2" max="2" width="10.26953125" style="60" customWidth="1"/>
    <col min="3" max="3" width="11.26953125" style="60" customWidth="1"/>
    <col min="4" max="4" width="10.26953125" style="60" customWidth="1"/>
    <col min="5" max="5" width="11.81640625" style="60" customWidth="1"/>
    <col min="6" max="8" width="10.26953125" style="60" customWidth="1"/>
    <col min="9" max="10" width="13" style="60" customWidth="1"/>
    <col min="11" max="11" width="13.7265625" style="60" bestFit="1" customWidth="1"/>
    <col min="12" max="16384" width="9.1796875" style="60"/>
  </cols>
  <sheetData>
    <row r="1" spans="1:12" ht="15" x14ac:dyDescent="0.3">
      <c r="A1" s="3" t="s">
        <v>183</v>
      </c>
      <c r="B1" s="29"/>
      <c r="C1" s="29"/>
      <c r="D1" s="29"/>
      <c r="E1" s="29"/>
      <c r="F1" s="29"/>
      <c r="G1" s="29"/>
      <c r="H1" s="29"/>
      <c r="I1" s="29"/>
    </row>
    <row r="2" spans="1:12" ht="15.5" x14ac:dyDescent="0.3">
      <c r="A2" s="2"/>
      <c r="B2" s="29"/>
      <c r="C2" s="29"/>
      <c r="D2" s="29"/>
      <c r="E2" s="29"/>
      <c r="F2" s="29"/>
      <c r="G2" s="29"/>
      <c r="H2" s="29"/>
      <c r="I2" s="29"/>
    </row>
    <row r="3" spans="1:12" ht="78" x14ac:dyDescent="0.3">
      <c r="A3" s="119" t="s">
        <v>4</v>
      </c>
      <c r="B3" s="59" t="s">
        <v>120</v>
      </c>
      <c r="C3" s="59" t="s">
        <v>121</v>
      </c>
      <c r="D3" s="87" t="s">
        <v>122</v>
      </c>
      <c r="E3" s="87" t="s">
        <v>123</v>
      </c>
      <c r="F3" s="87" t="s">
        <v>52</v>
      </c>
      <c r="G3" s="87" t="s">
        <v>53</v>
      </c>
      <c r="H3" s="87" t="s">
        <v>124</v>
      </c>
      <c r="I3" s="87" t="s">
        <v>55</v>
      </c>
      <c r="J3" s="124"/>
      <c r="K3" s="124"/>
      <c r="L3" s="124"/>
    </row>
    <row r="4" spans="1:12" ht="15.5" x14ac:dyDescent="0.3">
      <c r="A4" s="95" t="s">
        <v>125</v>
      </c>
      <c r="B4" s="92" t="s">
        <v>3</v>
      </c>
      <c r="C4" s="92"/>
      <c r="D4" s="93"/>
      <c r="E4" s="92"/>
      <c r="F4" s="130"/>
      <c r="G4" s="16"/>
      <c r="H4" s="16"/>
      <c r="I4" s="57"/>
      <c r="J4" s="124"/>
      <c r="K4" s="176" t="s">
        <v>126</v>
      </c>
      <c r="L4" s="177"/>
    </row>
    <row r="5" spans="1:12" ht="15.5" x14ac:dyDescent="0.3">
      <c r="A5" s="91" t="s">
        <v>127</v>
      </c>
      <c r="B5" s="92" t="s">
        <v>3</v>
      </c>
      <c r="C5" s="92"/>
      <c r="D5" s="93"/>
      <c r="E5" s="92"/>
      <c r="F5" s="131"/>
      <c r="G5" s="16"/>
      <c r="H5" s="132"/>
      <c r="I5" s="57"/>
      <c r="J5" s="124"/>
      <c r="K5" s="133" t="s">
        <v>128</v>
      </c>
      <c r="L5" s="134">
        <f>Inputs!D16</f>
        <v>69.040000000000006</v>
      </c>
    </row>
    <row r="6" spans="1:12" ht="15.5" x14ac:dyDescent="0.3">
      <c r="A6" s="95" t="s">
        <v>129</v>
      </c>
      <c r="B6" s="92" t="s">
        <v>3</v>
      </c>
      <c r="C6" s="92"/>
      <c r="D6" s="93"/>
      <c r="E6" s="9"/>
      <c r="F6" s="130"/>
      <c r="G6" s="135"/>
      <c r="H6" s="135"/>
      <c r="I6" s="57"/>
      <c r="J6" s="124"/>
      <c r="K6" s="133" t="s">
        <v>15</v>
      </c>
      <c r="L6" s="134">
        <f>Inputs!D15</f>
        <v>51.239999999999995</v>
      </c>
    </row>
    <row r="7" spans="1:12" x14ac:dyDescent="0.3">
      <c r="A7" s="95" t="s">
        <v>130</v>
      </c>
      <c r="B7" s="98"/>
      <c r="C7" s="98"/>
      <c r="D7" s="93"/>
      <c r="E7" s="98"/>
      <c r="F7" s="130"/>
      <c r="G7" s="16"/>
      <c r="H7" s="16"/>
      <c r="I7" s="57"/>
      <c r="J7" s="124"/>
      <c r="K7" s="133" t="s">
        <v>14</v>
      </c>
      <c r="L7" s="134">
        <f>Inputs!D17</f>
        <v>27.73</v>
      </c>
    </row>
    <row r="8" spans="1:12" x14ac:dyDescent="0.3">
      <c r="A8" s="136" t="s">
        <v>131</v>
      </c>
      <c r="B8" s="92" t="s">
        <v>3</v>
      </c>
      <c r="C8" s="92"/>
      <c r="D8" s="93"/>
      <c r="E8" s="92"/>
      <c r="F8" s="130"/>
      <c r="G8" s="16"/>
      <c r="H8" s="16"/>
      <c r="I8" s="57"/>
      <c r="J8" s="124"/>
      <c r="K8" s="124"/>
      <c r="L8" s="124"/>
    </row>
    <row r="9" spans="1:12" x14ac:dyDescent="0.3">
      <c r="A9" s="136" t="s">
        <v>132</v>
      </c>
      <c r="B9" s="92" t="s">
        <v>3</v>
      </c>
      <c r="C9" s="92"/>
      <c r="D9" s="93"/>
      <c r="E9" s="92"/>
      <c r="F9" s="130"/>
      <c r="G9" s="16"/>
      <c r="H9" s="16"/>
      <c r="I9" s="57"/>
      <c r="J9" s="124"/>
      <c r="K9" s="124"/>
      <c r="L9" s="124"/>
    </row>
    <row r="10" spans="1:12" x14ac:dyDescent="0.3">
      <c r="A10" s="136" t="s">
        <v>133</v>
      </c>
      <c r="B10" s="92" t="s">
        <v>3</v>
      </c>
      <c r="C10" s="92"/>
      <c r="D10" s="93"/>
      <c r="E10" s="92"/>
      <c r="F10" s="130"/>
      <c r="G10" s="16"/>
      <c r="H10" s="16"/>
      <c r="I10" s="57"/>
      <c r="J10" s="124"/>
      <c r="K10" s="124"/>
      <c r="L10" s="124"/>
    </row>
    <row r="11" spans="1:12" x14ac:dyDescent="0.3">
      <c r="A11" s="136" t="s">
        <v>134</v>
      </c>
      <c r="B11" s="92" t="s">
        <v>3</v>
      </c>
      <c r="C11" s="92"/>
      <c r="D11" s="93"/>
      <c r="E11" s="92"/>
      <c r="F11" s="130"/>
      <c r="G11" s="16"/>
      <c r="H11" s="16"/>
      <c r="I11" s="57"/>
      <c r="J11" s="124"/>
      <c r="K11" s="124"/>
      <c r="L11" s="124"/>
    </row>
    <row r="12" spans="1:12" x14ac:dyDescent="0.3">
      <c r="A12" s="114" t="s">
        <v>73</v>
      </c>
      <c r="B12" s="92" t="s">
        <v>3</v>
      </c>
      <c r="C12" s="92"/>
      <c r="D12" s="93"/>
      <c r="E12" s="92"/>
      <c r="F12" s="130"/>
      <c r="G12" s="16"/>
      <c r="H12" s="16"/>
      <c r="I12" s="57"/>
      <c r="J12" s="124"/>
      <c r="K12" s="124"/>
      <c r="L12" s="124"/>
    </row>
    <row r="13" spans="1:12" x14ac:dyDescent="0.3">
      <c r="A13" s="136" t="s">
        <v>135</v>
      </c>
      <c r="B13" s="92" t="s">
        <v>3</v>
      </c>
      <c r="C13" s="92"/>
      <c r="D13" s="93"/>
      <c r="E13" s="92"/>
      <c r="F13" s="130"/>
      <c r="G13" s="16"/>
      <c r="H13" s="16"/>
      <c r="I13" s="57"/>
      <c r="J13" s="124"/>
      <c r="K13" s="124"/>
      <c r="L13" s="124"/>
    </row>
    <row r="14" spans="1:12" x14ac:dyDescent="0.3">
      <c r="A14" s="114" t="s">
        <v>136</v>
      </c>
      <c r="B14" s="92">
        <v>4</v>
      </c>
      <c r="C14" s="92">
        <v>1</v>
      </c>
      <c r="D14" s="93">
        <f t="shared" ref="D14:D18" si="0">B14*C14</f>
        <v>4</v>
      </c>
      <c r="E14" s="92">
        <v>35</v>
      </c>
      <c r="F14" s="130">
        <f t="shared" ref="F14:F18" si="1">E14*D14</f>
        <v>140</v>
      </c>
      <c r="G14" s="16">
        <f t="shared" ref="G14:G18" si="2">F14*0.05</f>
        <v>7</v>
      </c>
      <c r="H14" s="16">
        <f t="shared" ref="H14:H18" si="3">F14*0.1</f>
        <v>14</v>
      </c>
      <c r="I14" s="57">
        <f t="shared" ref="I14:I18" si="4">$L$6*F14+$L$5*G14+$L$7*H14</f>
        <v>8045.0999999999995</v>
      </c>
      <c r="J14" s="124"/>
      <c r="K14" s="124"/>
      <c r="L14" s="124"/>
    </row>
    <row r="15" spans="1:12" ht="15.5" x14ac:dyDescent="0.3">
      <c r="A15" s="137" t="s">
        <v>137</v>
      </c>
      <c r="B15" s="92" t="s">
        <v>3</v>
      </c>
      <c r="C15" s="92"/>
      <c r="D15" s="93"/>
      <c r="E15" s="109"/>
      <c r="F15" s="131"/>
      <c r="G15" s="132"/>
      <c r="H15" s="132"/>
      <c r="I15" s="57"/>
      <c r="J15" s="124"/>
      <c r="K15" s="124"/>
      <c r="L15" s="124"/>
    </row>
    <row r="16" spans="1:12" x14ac:dyDescent="0.3">
      <c r="A16" s="136" t="s">
        <v>138</v>
      </c>
      <c r="B16" s="92">
        <v>4</v>
      </c>
      <c r="C16" s="92">
        <v>2</v>
      </c>
      <c r="D16" s="93">
        <f t="shared" si="0"/>
        <v>8</v>
      </c>
      <c r="E16" s="92">
        <v>35</v>
      </c>
      <c r="F16" s="130">
        <f t="shared" si="1"/>
        <v>280</v>
      </c>
      <c r="G16" s="135">
        <f t="shared" si="2"/>
        <v>14</v>
      </c>
      <c r="H16" s="135">
        <f t="shared" si="3"/>
        <v>28</v>
      </c>
      <c r="I16" s="57">
        <f t="shared" si="4"/>
        <v>16090.199999999999</v>
      </c>
      <c r="J16" s="124"/>
      <c r="K16" s="124"/>
      <c r="L16" s="124"/>
    </row>
    <row r="17" spans="1:12" x14ac:dyDescent="0.3">
      <c r="A17" s="136" t="s">
        <v>139</v>
      </c>
      <c r="B17" s="92" t="s">
        <v>3</v>
      </c>
      <c r="C17" s="92"/>
      <c r="D17" s="93"/>
      <c r="E17" s="92"/>
      <c r="F17" s="130"/>
      <c r="G17" s="16"/>
      <c r="H17" s="16"/>
      <c r="I17" s="57"/>
      <c r="J17" s="124"/>
      <c r="K17" s="124"/>
      <c r="L17" s="124"/>
    </row>
    <row r="18" spans="1:12" ht="15.5" x14ac:dyDescent="0.3">
      <c r="A18" s="114" t="s">
        <v>140</v>
      </c>
      <c r="B18" s="92">
        <v>4</v>
      </c>
      <c r="C18" s="92">
        <v>1</v>
      </c>
      <c r="D18" s="93">
        <f t="shared" si="0"/>
        <v>4</v>
      </c>
      <c r="E18" s="109">
        <v>35</v>
      </c>
      <c r="F18" s="130">
        <f t="shared" si="1"/>
        <v>140</v>
      </c>
      <c r="G18" s="16">
        <f t="shared" si="2"/>
        <v>7</v>
      </c>
      <c r="H18" s="16">
        <f t="shared" si="3"/>
        <v>14</v>
      </c>
      <c r="I18" s="57">
        <f t="shared" si="4"/>
        <v>8045.0999999999995</v>
      </c>
      <c r="J18" s="124"/>
      <c r="K18" s="124"/>
      <c r="L18" s="124"/>
    </row>
    <row r="19" spans="1:12" ht="15" x14ac:dyDescent="0.3">
      <c r="A19" s="138" t="s">
        <v>141</v>
      </c>
      <c r="B19" s="121"/>
      <c r="C19" s="121"/>
      <c r="D19" s="16"/>
      <c r="E19" s="121"/>
      <c r="F19" s="168">
        <f>ROUND(SUM(F4:H18), -1)</f>
        <v>640</v>
      </c>
      <c r="G19" s="168"/>
      <c r="H19" s="168"/>
      <c r="I19" s="139">
        <f>ROUND(SUM(I4:I18),-2)</f>
        <v>32200</v>
      </c>
      <c r="J19" s="124"/>
      <c r="K19" s="124"/>
      <c r="L19" s="124"/>
    </row>
    <row r="20" spans="1:12" x14ac:dyDescent="0.3">
      <c r="A20" s="124"/>
      <c r="B20" s="124"/>
      <c r="C20" s="124"/>
      <c r="D20" s="124"/>
      <c r="E20" s="124"/>
      <c r="F20" s="124"/>
      <c r="G20" s="124"/>
      <c r="H20" s="124"/>
      <c r="I20" s="124"/>
      <c r="J20" s="124"/>
      <c r="K20" s="124"/>
      <c r="L20" s="124"/>
    </row>
    <row r="21" spans="1:12" x14ac:dyDescent="0.3">
      <c r="A21" s="14" t="s">
        <v>2</v>
      </c>
      <c r="B21" s="124"/>
      <c r="C21" s="124"/>
      <c r="D21" s="124"/>
      <c r="E21" s="124"/>
      <c r="F21" s="124"/>
      <c r="G21" s="124"/>
      <c r="H21" s="124"/>
      <c r="I21" s="124"/>
      <c r="J21" s="124"/>
      <c r="K21" s="124"/>
      <c r="L21" s="124"/>
    </row>
    <row r="22" spans="1:12" x14ac:dyDescent="0.3">
      <c r="A22" s="169" t="s">
        <v>160</v>
      </c>
      <c r="B22" s="169"/>
      <c r="C22" s="169"/>
      <c r="D22" s="169"/>
      <c r="E22" s="169"/>
      <c r="F22" s="169"/>
      <c r="G22" s="169"/>
      <c r="H22" s="169"/>
      <c r="I22" s="169"/>
      <c r="J22" s="124"/>
      <c r="K22" s="124"/>
      <c r="L22" s="124"/>
    </row>
    <row r="23" spans="1:12" ht="35.25" customHeight="1" x14ac:dyDescent="0.3">
      <c r="A23" s="169" t="s">
        <v>161</v>
      </c>
      <c r="B23" s="169"/>
      <c r="C23" s="169"/>
      <c r="D23" s="169"/>
      <c r="E23" s="169"/>
      <c r="F23" s="169"/>
      <c r="G23" s="169"/>
      <c r="H23" s="169"/>
      <c r="I23" s="169"/>
      <c r="J23" s="124"/>
      <c r="K23" s="124"/>
      <c r="L23" s="124"/>
    </row>
    <row r="24" spans="1:12" x14ac:dyDescent="0.3">
      <c r="A24" s="169" t="s">
        <v>162</v>
      </c>
      <c r="B24" s="169"/>
      <c r="C24" s="169"/>
      <c r="D24" s="169"/>
      <c r="E24" s="169"/>
      <c r="F24" s="169"/>
      <c r="G24" s="169"/>
      <c r="H24" s="169"/>
      <c r="I24" s="169"/>
      <c r="J24" s="124"/>
      <c r="K24" s="124"/>
      <c r="L24" s="124"/>
    </row>
    <row r="25" spans="1:12" x14ac:dyDescent="0.3">
      <c r="A25" s="169" t="s">
        <v>163</v>
      </c>
      <c r="B25" s="169"/>
      <c r="C25" s="169"/>
      <c r="D25" s="169"/>
      <c r="E25" s="169"/>
      <c r="F25" s="169"/>
      <c r="G25" s="169"/>
      <c r="H25" s="169"/>
      <c r="I25" s="169"/>
      <c r="J25" s="124"/>
      <c r="K25" s="124"/>
      <c r="L25" s="124"/>
    </row>
    <row r="26" spans="1:12" x14ac:dyDescent="0.3">
      <c r="A26" s="165" t="s">
        <v>146</v>
      </c>
      <c r="B26" s="165"/>
      <c r="C26" s="165"/>
      <c r="D26" s="165"/>
      <c r="E26" s="165"/>
      <c r="F26" s="165"/>
      <c r="G26" s="165"/>
      <c r="H26" s="165"/>
      <c r="I26" s="165"/>
      <c r="J26" s="124"/>
      <c r="K26" s="124"/>
      <c r="L26" s="124"/>
    </row>
    <row r="27" spans="1:12" x14ac:dyDescent="0.3">
      <c r="A27" s="165" t="s">
        <v>176</v>
      </c>
      <c r="B27" s="165"/>
      <c r="C27" s="165"/>
      <c r="D27" s="165"/>
      <c r="E27" s="165"/>
      <c r="F27" s="165"/>
      <c r="G27" s="165"/>
      <c r="H27" s="165"/>
      <c r="I27" s="165"/>
      <c r="J27" s="124"/>
      <c r="K27" s="124"/>
      <c r="L27" s="124"/>
    </row>
    <row r="28" spans="1:12" ht="15.5" x14ac:dyDescent="0.3">
      <c r="A28" s="15"/>
      <c r="B28" s="29"/>
      <c r="C28" s="29"/>
      <c r="D28" s="29"/>
      <c r="E28" s="29"/>
      <c r="F28" s="29"/>
      <c r="G28" s="29"/>
      <c r="H28" s="29"/>
      <c r="I28" s="29"/>
    </row>
    <row r="29" spans="1:12" ht="15.5" x14ac:dyDescent="0.3">
      <c r="A29" s="15"/>
      <c r="B29" s="29"/>
      <c r="C29" s="29"/>
      <c r="D29" s="29"/>
      <c r="E29" s="29"/>
      <c r="F29" s="29"/>
      <c r="G29" s="29"/>
      <c r="H29" s="29"/>
      <c r="I29" s="29"/>
    </row>
    <row r="30" spans="1:12" ht="15.5" x14ac:dyDescent="0.3">
      <c r="A30" s="2"/>
      <c r="B30" s="29"/>
      <c r="C30" s="29"/>
      <c r="D30" s="29"/>
      <c r="E30" s="29"/>
      <c r="F30" s="29"/>
      <c r="G30" s="29"/>
      <c r="H30" s="29"/>
      <c r="I30" s="29"/>
    </row>
  </sheetData>
  <mergeCells count="8">
    <mergeCell ref="A27:I27"/>
    <mergeCell ref="F19:H19"/>
    <mergeCell ref="A23:I23"/>
    <mergeCell ref="K4:L4"/>
    <mergeCell ref="A22:I22"/>
    <mergeCell ref="A24:I24"/>
    <mergeCell ref="A25:I25"/>
    <mergeCell ref="A26:I2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LastSyncTimeStamp="2016-08-25T00:16:07.24Z"/>
</file>

<file path=customXml/item2.xml><?xml version="1.0" encoding="utf-8"?>
<ct:contentTypeSchema xmlns:ct="http://schemas.microsoft.com/office/2006/metadata/contentType" xmlns:ma="http://schemas.microsoft.com/office/2006/metadata/properties/metaAttributes" ct:_="" ma:_="" ma:contentTypeName="Document" ma:contentTypeID="0x01010072CA672D8D94254FADDAEF98B91C497A" ma:contentTypeVersion="34" ma:contentTypeDescription="Create a new document." ma:contentTypeScope="" ma:versionID="a0f275b5e96ac9986524f43db9014e4a">
  <xsd:schema xmlns:xsd="http://www.w3.org/2001/XMLSchema" xmlns:xs="http://www.w3.org/2001/XMLSchema" xmlns:p="http://schemas.microsoft.com/office/2006/metadata/properties" xmlns:ns1="http://schemas.microsoft.com/sharepoint/v3" xmlns:ns2="4ffa91fb-a0ff-4ac5-b2db-65c790d184a4" xmlns:ns3="3541802f-c9a7-4423-ad70-861189f520b0" xmlns:ns4="8cbedb01-7036-4fa4-9d83-78abe0166c2f" targetNamespace="http://schemas.microsoft.com/office/2006/metadata/properties" ma:root="true" ma:fieldsID="95b02677bb4e778d51bea1c9cfafb810" ns1:_="" ns2:_="" ns3:_="" ns4:_="">
    <xsd:import namespace="http://schemas.microsoft.com/sharepoint/v3"/>
    <xsd:import namespace="4ffa91fb-a0ff-4ac5-b2db-65c790d184a4"/>
    <xsd:import namespace="3541802f-c9a7-4423-ad70-861189f520b0"/>
    <xsd:import namespace="8cbedb01-7036-4fa4-9d83-78abe0166c2f"/>
    <xsd:element name="properties">
      <xsd:complexType>
        <xsd:sequence>
          <xsd:element name="documentManagement">
            <xsd:complexType>
              <xsd:all>
                <xsd:element ref="ns2:Document_x0020_Creation_x0020_Date" minOccurs="0"/>
                <xsd:element ref="ns2:TaxCatchAllLabel" minOccurs="0"/>
                <xsd:element ref="ns2:TaxCatchAll" minOccurs="0"/>
                <xsd:element ref="ns3:Package_x0020_Type" minOccurs="0"/>
                <xsd:element ref="ns3:Signature_x0020_Date" minOccurs="0"/>
                <xsd:element ref="ns3:Group" minOccurs="0"/>
                <xsd:element ref="ns3:Lead" minOccurs="0"/>
                <xsd:element ref="ns3:Court_x0020_Order" minOccurs="0"/>
                <xsd:element ref="ns3:MediaServiceMetadata" minOccurs="0"/>
                <xsd:element ref="ns3:MediaServiceFastMetadata" minOccurs="0"/>
                <xsd:element ref="ns3:Action_x0020_Type" minOccurs="0"/>
                <xsd:element ref="ns3:SPPDPhase" minOccurs="0"/>
                <xsd:element ref="ns3:Archive" minOccurs="0"/>
                <xsd:element ref="ns3:ProjectID" minOccurs="0"/>
                <xsd:element ref="ns3:Review_x0020_Type" minOccurs="0"/>
                <xsd:element ref="ns3:PreviousPhase" minOccurs="0"/>
                <xsd:element ref="ns4:SharedWithUsers" minOccurs="0"/>
                <xsd:element ref="ns4:SharedWithDetails" minOccurs="0"/>
                <xsd:element ref="ns1:DocumentSetDescription" minOccurs="0"/>
                <xsd:element ref="ns3:ReviewPh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29" nillable="true" ma:displayName="Description" ma:description="A description of the Document 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8"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TaxCatchAllLabel" ma:index="9" nillable="true" ma:displayName="Taxonomy Catch All Column1" ma:hidden="true" ma:list="{7056f0a4-3cfe-45f7-9d52-1f31398461bf}" ma:internalName="TaxCatchAllLabel" ma:readOnly="true" ma:showField="CatchAllDataLabel" ma:web="8cbedb01-7036-4fa4-9d83-78abe0166c2f">
      <xsd:complexType>
        <xsd:complexContent>
          <xsd:extension base="dms:MultiChoiceLookup">
            <xsd:sequence>
              <xsd:element name="Value" type="dms:Lookup" maxOccurs="unbounded" minOccurs="0" nillable="true"/>
            </xsd:sequence>
          </xsd:extension>
        </xsd:complexContent>
      </xsd:complexType>
    </xsd:element>
    <xsd:element name="TaxCatchAll" ma:index="10" nillable="true" ma:displayName="Taxonomy Catch All Column" ma:hidden="true" ma:list="{7056f0a4-3cfe-45f7-9d52-1f31398461bf}" ma:internalName="TaxCatchAll" ma:showField="CatchAllData" ma:web="8cbedb01-7036-4fa4-9d83-78abe0166c2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541802f-c9a7-4423-ad70-861189f520b0" elementFormDefault="qualified">
    <xsd:import namespace="http://schemas.microsoft.com/office/2006/documentManagement/types"/>
    <xsd:import namespace="http://schemas.microsoft.com/office/infopath/2007/PartnerControls"/>
    <xsd:element name="Package_x0020_Type" ma:index="11" nillable="true" ma:displayName="Package Type" ma:default="OMB" ma:description="Select the type of package (OMB, FAR or OMB review package)" ma:format="Dropdown" ma:internalName="Package_x0020_Type">
      <xsd:simpleType>
        <xsd:restriction base="dms:Choice">
          <xsd:enumeration value="OMB"/>
          <xsd:enumeration value="Signature Package"/>
          <xsd:enumeration value="Notice"/>
        </xsd:restriction>
      </xsd:simpleType>
    </xsd:element>
    <xsd:element name="Signature_x0020_Date" ma:index="12" nillable="true" ma:displayName="Due Date" ma:description="Court ordered or desired signature date, for OMB packages this is the date the package should be sent to OMB." ma:format="DateOnly" ma:internalName="Signature_x0020_Date">
      <xsd:simpleType>
        <xsd:restriction base="dms:DateTime"/>
      </xsd:simpleType>
    </xsd:element>
    <xsd:element name="Group" ma:index="13" nillable="true" ma:displayName="Group" ma:default="ESG" ma:description="Select responsible SPPD Group from dropdown list." ma:format="Dropdown" ma:internalName="Group">
      <xsd:simpleType>
        <xsd:restriction base="dms:Choice">
          <xsd:enumeration value="ESG"/>
          <xsd:enumeration value="FIG"/>
          <xsd:enumeration value="MICG"/>
          <xsd:enumeration value="MMG"/>
          <xsd:enumeration value="MPG"/>
          <xsd:enumeration value="NRG"/>
          <xsd:enumeration value="PSG"/>
          <xsd:enumeration value="RCG"/>
          <xsd:enumeration value="SPPD/IO"/>
          <xsd:enumeration value="TDST"/>
          <xsd:enumeration value="Other"/>
        </xsd:restriction>
      </xsd:simpleType>
    </xsd:element>
    <xsd:element name="Lead" ma:index="14" nillable="true" ma:displayName="Lead" ma:description="Primary project lead (one lead only)" ma:list="UserInfo" ma:SharePointGroup="0" ma:internalName="Lead"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urt_x0020_Order" ma:index="15" nillable="true" ma:displayName="Court Order" ma:default="1" ma:description="Does the package have a court ordered signature deadline?" ma:internalName="Court_x0020_Order">
      <xsd:simpleType>
        <xsd:restriction base="dms:Boolea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Action_x0020_Type" ma:index="20" nillable="true" ma:displayName="Action Type" ma:default="ANPR" ma:description="Select the type of action, ANPR, Proposal, Final, Exceptional Issue, or Other." ma:format="Dropdown" ma:internalName="Action_x0020_Type">
      <xsd:simpleType>
        <xsd:restriction base="dms:Choice">
          <xsd:enumeration value="ANPR"/>
          <xsd:enumeration value="Proposal"/>
          <xsd:enumeration value="Final"/>
          <xsd:enumeration value="Exceptional Issue"/>
          <xsd:enumeration value="Other"/>
        </xsd:restriction>
      </xsd:simpleType>
    </xsd:element>
    <xsd:element name="SPPDPhase" ma:index="21" nillable="true" ma:displayName="SPPDPhase" ma:default="0- New" ma:description="Review phase for SPPD rules, assignment of the phase is done through the Blue Folder routing system." ma:format="Dropdown" ma:internalName="SPPDPhase">
      <xsd:simpleType>
        <xsd:restriction base="dms:Choice">
          <xsd:enumeration value="0- New"/>
          <xsd:enumeration value="1- Group Review"/>
          <xsd:enumeration value="2- Consistency Review"/>
          <xsd:enumeration value="3- Admin Review"/>
          <xsd:enumeration value="4- RL Review"/>
          <xsd:enumeration value="5- Secondary Review"/>
          <xsd:enumeration value="6- SPPD Management Review"/>
          <xsd:enumeration value="7- OAQPS Management Review"/>
          <xsd:enumeration value="8- Out of eBF (OAR/OP/OMB)"/>
          <xsd:enumeration value="9- Archive"/>
        </xsd:restriction>
      </xsd:simpleType>
    </xsd:element>
    <xsd:element name="Archive" ma:index="22" nillable="true" ma:displayName="Archive" ma:description="Button for archive" ma:internalName="Archive">
      <xsd:simpleType>
        <xsd:restriction base="dms:Text">
          <xsd:maxLength value="255"/>
        </xsd:restriction>
      </xsd:simpleType>
    </xsd:element>
    <xsd:element name="ProjectID" ma:index="23" nillable="true" ma:displayName="ProjectID" ma:description="Unique identifier for the rule/project" ma:internalName="ProjectID">
      <xsd:simpleType>
        <xsd:restriction base="dms:Text">
          <xsd:maxLength value="255"/>
        </xsd:restriction>
      </xsd:simpleType>
    </xsd:element>
    <xsd:element name="Review_x0020_Type" ma:index="24" nillable="true" ma:displayName="Review Type" ma:default="112-TR" ma:format="Dropdown" ma:internalName="Review_x0020_Type">
      <xsd:simpleType>
        <xsd:restriction base="dms:Choice">
          <xsd:enumeration value="112-TR"/>
          <xsd:enumeration value="112-RTR"/>
          <xsd:enumeration value="111"/>
          <xsd:enumeration value="129-TR"/>
          <xsd:enumeration value="129-RTR"/>
          <xsd:enumeration value="183e"/>
        </xsd:restriction>
      </xsd:simpleType>
    </xsd:element>
    <xsd:element name="PreviousPhase" ma:index="26" nillable="true" ma:displayName="PreviousPhase" ma:default="0- New" ma:format="Dropdown" ma:internalName="PreviousPhase">
      <xsd:simpleType>
        <xsd:restriction base="dms:Choice">
          <xsd:enumeration value="0- New"/>
          <xsd:enumeration value="1- Group Review"/>
          <xsd:enumeration value="2- Consistency Review"/>
          <xsd:enumeration value="3- Admin Review"/>
          <xsd:enumeration value="4- RL Review"/>
          <xsd:enumeration value="5- Secondary Review"/>
          <xsd:enumeration value="6- SPPD Management Review"/>
          <xsd:enumeration value="7- OAQPS Management Review"/>
          <xsd:enumeration value="8- Out of eBF (OAR/OP/OMB)"/>
          <xsd:enumeration value="9- Archive"/>
        </xsd:restriction>
      </xsd:simpleType>
    </xsd:element>
    <xsd:element name="ReviewPhase" ma:index="30" nillable="true" ma:displayName="ReviewPhase" ma:default="SPPD/OAQPS" ma:format="Dropdown" ma:internalName="ReviewPhase">
      <xsd:simpleType>
        <xsd:restriction base="dms:Choice">
          <xsd:enumeration value="SPPD/OAQPS"/>
          <xsd:enumeration value="OAR"/>
          <xsd:enumeration value="OP"/>
          <xsd:enumeration value="OMB"/>
          <xsd:enumeration value="OEX"/>
          <xsd:enumeration value="OFR"/>
        </xsd:restriction>
      </xsd:simpleType>
    </xsd:element>
  </xsd:schema>
  <xsd:schema xmlns:xsd="http://www.w3.org/2001/XMLSchema" xmlns:xs="http://www.w3.org/2001/XMLSchema" xmlns:dms="http://schemas.microsoft.com/office/2006/documentManagement/types" xmlns:pc="http://schemas.microsoft.com/office/infopath/2007/PartnerControls" targetNamespace="8cbedb01-7036-4fa4-9d83-78abe0166c2f"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ocument_x0020_Creation_x0020_Date xmlns="4ffa91fb-a0ff-4ac5-b2db-65c790d184a4">2022-04-14T07:56:43+00:00</Document_x0020_Creation_x0020_Date>
    <TaxCatchAll xmlns="4ffa91fb-a0ff-4ac5-b2db-65c790d184a4" xsi:nil="true"/>
    <ProjectID xmlns="3541802f-c9a7-4423-ad70-861189f520b0" xsi:nil="true"/>
    <Action_x0020_Type xmlns="3541802f-c9a7-4423-ad70-861189f520b0">Proposal</Action_x0020_Type>
    <Lead xmlns="3541802f-c9a7-4423-ad70-861189f520b0">
      <UserInfo>
        <DisplayName>Storey, Brian</DisplayName>
        <AccountId>83</AccountId>
        <AccountType/>
      </UserInfo>
    </Lead>
    <Court_x0020_Order xmlns="3541802f-c9a7-4423-ad70-861189f520b0">false</Court_x0020_Order>
    <Review_x0020_Type xmlns="3541802f-c9a7-4423-ad70-861189f520b0">112-TR</Review_x0020_Type>
    <DocumentSetDescription xmlns="http://schemas.microsoft.com/sharepoint/v3">Proposed amendments to incorporate 4 previously unregulated pollutants (HCl, Hg, THC, and D/F) in accordance w/ LEAN decision.
Note: Current final rule signature date is 2/23/2023. We need to get this proposal signed ASAP so that the litigants will negotiate an extension to the court ordered final rule date which they have indicated they are willing to do once the proposal is signed.</DocumentSetDescription>
    <Package_x0020_Type xmlns="3541802f-c9a7-4423-ad70-861189f520b0">Signature Package</Package_x0020_Type>
    <Group xmlns="3541802f-c9a7-4423-ad70-861189f520b0">MMG</Group>
    <PreviousPhase xmlns="3541802f-c9a7-4423-ad70-861189f520b0">0- New</PreviousPhase>
    <Archive xmlns="3541802f-c9a7-4423-ad70-861189f520b0" xsi:nil="true"/>
    <SPPDPhase xmlns="3541802f-c9a7-4423-ad70-861189f520b0">8- Out of eBF (OAR/OP/OMB)</SPPDPhase>
    <Signature_x0020_Date xmlns="3541802f-c9a7-4423-ad70-861189f520b0">2022-10-31T07:00:00+00:00</Signature_x0020_Date>
    <ReviewPhase xmlns="3541802f-c9a7-4423-ad70-861189f520b0">SPPD/OAQPS</ReviewPhas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3F1F3B-4951-4FD1-9664-F86F65875D78}">
  <ds:schemaRefs>
    <ds:schemaRef ds:uri="Microsoft.SharePoint.Taxonomy.ContentTypeSync"/>
  </ds:schemaRefs>
</ds:datastoreItem>
</file>

<file path=customXml/itemProps2.xml><?xml version="1.0" encoding="utf-8"?>
<ds:datastoreItem xmlns:ds="http://schemas.openxmlformats.org/officeDocument/2006/customXml" ds:itemID="{B8AE6B97-E811-4418-8D50-4B27ED5432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3541802f-c9a7-4423-ad70-861189f520b0"/>
    <ds:schemaRef ds:uri="8cbedb01-7036-4fa4-9d83-78abe0166c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81BEE4-3612-4BE4-8063-9B4A7DDCEEC6}">
  <ds:schemaRefs>
    <ds:schemaRef ds:uri="http://schemas.microsoft.com/office/2006/metadata/properties"/>
    <ds:schemaRef ds:uri="http://schemas.microsoft.com/office/infopath/2007/PartnerControls"/>
    <ds:schemaRef ds:uri="4ffa91fb-a0ff-4ac5-b2db-65c790d184a4"/>
    <ds:schemaRef ds:uri="http://schemas.microsoft.com/sharepoint/v3"/>
    <ds:schemaRef ds:uri="http://schemas.microsoft.com/sharepoint/v3/fields"/>
    <ds:schemaRef ds:uri="http://schemas.microsoft.com/sharepoint.v3"/>
    <ds:schemaRef ds:uri="19bc1d93-a825-4622-8adb-915efa9c8e2e"/>
    <ds:schemaRef ds:uri="3541802f-c9a7-4423-ad70-861189f520b0"/>
  </ds:schemaRefs>
</ds:datastoreItem>
</file>

<file path=customXml/itemProps4.xml><?xml version="1.0" encoding="utf-8"?>
<ds:datastoreItem xmlns:ds="http://schemas.openxmlformats.org/officeDocument/2006/customXml" ds:itemID="{4DC22998-169B-43DF-B97D-50315FF65C8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Cover</vt:lpstr>
      <vt:lpstr>Inputs</vt:lpstr>
      <vt:lpstr>Current ICR</vt:lpstr>
      <vt:lpstr>TBL1-ResY1</vt:lpstr>
      <vt:lpstr>TBL2-ResY2</vt:lpstr>
      <vt:lpstr>TBL3-ResY3</vt:lpstr>
      <vt:lpstr>TBL4-ResSUM</vt:lpstr>
      <vt:lpstr>TBL5-EPAY1</vt:lpstr>
      <vt:lpstr>TBL6-EPAY2</vt:lpstr>
      <vt:lpstr>TBL7-EPAY3</vt:lpstr>
      <vt:lpstr>TBL8-EPA SUMMARY</vt:lpstr>
      <vt:lpstr>'Current ICR'!_Hlk226374301</vt:lpstr>
      <vt:lpstr>'TBL1-ResY1'!_Hlk226374301</vt:lpstr>
      <vt:lpstr>'TBL2-ResY2'!_Hlk226374301</vt:lpstr>
      <vt:lpstr>'TBL3-ResY3'!_Hlk226374301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Bryan Lange</dc:creator>
  <cp:lastModifiedBy>Salahuddin, Diane</cp:lastModifiedBy>
  <dcterms:created xsi:type="dcterms:W3CDTF">2018-01-23T21:19:08Z</dcterms:created>
  <dcterms:modified xsi:type="dcterms:W3CDTF">2023-02-03T15:53:51Z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0x01010072CA672D8D94254FADDAEF98B91C497A</vt:lpwstr>
  </property>
  <property fmtid="{D5CDD505-2E9C-101B-9397-08002B2CF9AE}" pid="3" name="TaxKeyword">
    <vt:lpwstr/>
  </property>
  <property fmtid="{D5CDD505-2E9C-101B-9397-08002B2CF9AE}" pid="4" name="EPA Subject">
    <vt:lpwstr/>
  </property>
  <property fmtid="{D5CDD505-2E9C-101B-9397-08002B2CF9AE}" pid="5" name="Document Type">
    <vt:lpwstr/>
  </property>
  <property fmtid="{D5CDD505-2E9C-101B-9397-08002B2CF9AE}" pid="6" name="FileVersion">
    <vt:lpwstr>Current Version</vt:lpwstr>
  </property>
  <property fmtid="{D5CDD505-2E9C-101B-9397-08002B2CF9AE}" pid="7" name="_docset_NoMedatataSyncRequired">
    <vt:lpwstr>False</vt:lpwstr>
  </property>
</Properties>
</file>