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defaultThemeVersion="124226"/>
  <xr:revisionPtr revIDLastSave="0" documentId="8_{22A15BA8-C1E3-469D-9C95-3D2495978BCE}" xr6:coauthVersionLast="47" xr6:coauthVersionMax="47" xr10:uidLastSave="{00000000-0000-0000-0000-000000000000}"/>
  <workbookProtection workbookAlgorithmName="SHA-512" workbookHashValue="utvoYa7QKSEyUk2XTSmfU1AfgrtlWSy/1af5BbP8ElfU3LacAlcfa9flDcIIuU2BJLK/n+jlinCs0YDKApJSxw==" workbookSaltValue="9UQ2KY1WtXLGpaROqR5Z3Q==" workbookSpinCount="100000" lockStructure="1"/>
  <bookViews>
    <workbookView xWindow="-110" yWindow="-110" windowWidth="19420" windowHeight="10420" tabRatio="748" firstSheet="4" activeTab="9" xr2:uid="{00000000-000D-0000-FFFF-FFFF00000000}"/>
  </bookViews>
  <sheets>
    <sheet name="FFD pgm &amp; sites" sheetId="15" state="hidden" r:id="rId1"/>
    <sheet name="Reactor Info" sheetId="16" state="hidden" r:id="rId2"/>
    <sheet name="Test Results" sheetId="13" state="hidden" r:id="rId3"/>
    <sheet name="Data " sheetId="8" state="hidden" r:id="rId4"/>
    <sheet name="T1_1X_Rcdkping" sheetId="1" r:id="rId5"/>
    <sheet name="T2_Ann_Rcdkping" sheetId="2" r:id="rId6"/>
    <sheet name="T3_AnnRpting" sheetId="3" r:id="rId7"/>
    <sheet name="T4_Ann_3rdParty" sheetId="4" r:id="rId8"/>
    <sheet name="T5_Ann_NRC" sheetId="14" r:id="rId9"/>
    <sheet name="TOTALS" sheetId="7"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'Reactor Info'!$C$5:$O$100</definedName>
    <definedName name="_xlnm._FilterDatabase" localSheetId="4" hidden="1">T1_1X_Rcdkping!$D$2:$N$293</definedName>
    <definedName name="_xlnm._FilterDatabase" localSheetId="5" hidden="1">T2_Ann_Rcdkping!$D$2:$O$224</definedName>
    <definedName name="_xlnm._FilterDatabase" localSheetId="6" hidden="1">T3_AnnRpting!$D$2:$R$2</definedName>
    <definedName name="_xlnm._FilterDatabase" localSheetId="7" hidden="1">T4_Ann_3rdParty!$D$2:$N$99</definedName>
    <definedName name="_xlnm._FilterDatabase" localSheetId="8" hidden="1">T5_Ann_NRC!$D$2:$N$2</definedName>
    <definedName name="NRC_Labor_Rate">'Data '!$C$56</definedName>
    <definedName name="Num_24hrRpts">'Data '!$C$49</definedName>
    <definedName name="Num_30dayRpts">'Data '!$C$50</definedName>
    <definedName name="Num_Fatigue_Programs">'Data '!$C$57</definedName>
    <definedName name="Num_FFD_Prgms_Full">'Data '!$C$4</definedName>
    <definedName name="Num_FFD_Prgms_SubK">'Data '!$C$8</definedName>
    <definedName name="Num_FFD_Prgms_Total">'Data '!$C$3</definedName>
    <definedName name="Num_HHS_Labs">'Data '!$C$17</definedName>
    <definedName name="Num_LTFs">'Data '!$C$16</definedName>
    <definedName name="Num_PreAccess_Tests">'Data '!$C$24</definedName>
    <definedName name="Num_Random_Tests">'Data '!$C$25</definedName>
    <definedName name="Num_Sites_CorpOffice">'Data '!$C$12</definedName>
    <definedName name="Num_Sites_CVs">'Data '!$C$14</definedName>
    <definedName name="Num_Sites_FuelCycle">'Data '!$C$13</definedName>
    <definedName name="Num_Sites_Reactors_Construction">'Data '!$C$11</definedName>
    <definedName name="Num_Sites_Reactors_Operating">'Data '!$C$10</definedName>
    <definedName name="Num_Tests_ForCause">'Data '!$C$26</definedName>
    <definedName name="Num_Tests_Preaccess">'Data '!$C$24</definedName>
    <definedName name="Num_Tests_Total">'Data '!$C$23</definedName>
    <definedName name="Pal_Workbook_GUID" hidden="1">"AM8CWH414R4WCTRAJUSCV2QU"</definedName>
    <definedName name="_xlnm.Print_Area" localSheetId="3">'Data '!$A$1:$R$57</definedName>
    <definedName name="_xlnm.Print_Area" localSheetId="0">'FFD pgm &amp; sites'!$A$1:$F$61</definedName>
    <definedName name="_xlnm.Print_Area" localSheetId="1">'Reactor Info'!$A$1:$X$129</definedName>
    <definedName name="_xlnm.Print_Area" localSheetId="4">T1_1X_Rcdkping!$A$1:$O$39</definedName>
    <definedName name="_xlnm.Print_Area" localSheetId="5">T2_Ann_Rcdkping!$A$1:$P$224</definedName>
    <definedName name="_xlnm.Print_Area" localSheetId="6">T3_AnnRpting!$C$1:$S$18</definedName>
    <definedName name="_xlnm.Print_Area" localSheetId="7">T4_Ann_3rdParty!$A$1:$O$99</definedName>
    <definedName name="_xlnm.Print_Area" localSheetId="8">T5_Ann_NRC!$A$1:$O$16</definedName>
    <definedName name="_xlnm.Print_Area" localSheetId="2">'Test Results'!$A$1:$R$155</definedName>
    <definedName name="_xlnm.Print_Area" localSheetId="9">TOTALS!$A$1:$L$37</definedName>
    <definedName name="_xlnm.Print_Titles" localSheetId="4">T1_1X_Rcdkping!$1:$2</definedName>
    <definedName name="_xlnm.Print_Titles" localSheetId="5">T2_Ann_Rcdkping!$1:$2</definedName>
    <definedName name="_xlnm.Print_Titles" localSheetId="6">T3_AnnRpting!$1:$2</definedName>
    <definedName name="_xlnm.Print_Titles" localSheetId="7">T4_Ann_3rdParty!$1:$2</definedName>
    <definedName name="_xlnm.Print_Titles" localSheetId="8">T5_Ann_NRC!$1:$2</definedName>
    <definedName name="_xlnm.Print_Titles" localSheetId="2">'Test Results'!$1:$1</definedName>
    <definedName name="RandomTestPop_Construction">'Data '!$D$47</definedName>
    <definedName name="RandomTestPop_FullPrgm">'Data '!$C$47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564882</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TRUE</definedName>
    <definedName name="RiskUseMultipleCPUs" hidden="1">TRUE</definedName>
    <definedName name="SubversionsPerYear">'Data '!$C$55:$C$55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F3" i="1"/>
  <c r="G3" i="1" s="1"/>
  <c r="F4" i="1"/>
  <c r="G4" i="1" s="1"/>
  <c r="F5" i="1"/>
  <c r="G5" i="1" s="1"/>
  <c r="F8" i="1"/>
  <c r="G8" i="1" s="1"/>
  <c r="F10" i="1"/>
  <c r="G10" i="1" s="1"/>
  <c r="G11" i="1"/>
  <c r="G12" i="1"/>
  <c r="F13" i="1"/>
  <c r="G13" i="1" s="1"/>
  <c r="F14" i="1"/>
  <c r="G14" i="1"/>
  <c r="G15" i="1"/>
  <c r="F16" i="1"/>
  <c r="G16" i="1" s="1"/>
  <c r="F17" i="1"/>
  <c r="G17" i="1" s="1"/>
  <c r="G21" i="1"/>
  <c r="G22" i="1"/>
  <c r="G23" i="1"/>
  <c r="G24" i="1"/>
  <c r="G25" i="1"/>
  <c r="G27" i="1"/>
  <c r="G28" i="1"/>
  <c r="G31" i="1"/>
  <c r="G32" i="1"/>
  <c r="G33" i="1"/>
  <c r="G34" i="1"/>
  <c r="G35" i="1"/>
  <c r="K6" i="1"/>
  <c r="K7" i="1"/>
  <c r="K9" i="1"/>
  <c r="K18" i="1"/>
  <c r="K19" i="1"/>
  <c r="K20" i="1"/>
  <c r="K26" i="1"/>
  <c r="K29" i="1"/>
  <c r="K30" i="1"/>
  <c r="K36" i="1"/>
  <c r="G37" i="1" l="1"/>
  <c r="F54" i="15" l="1"/>
  <c r="H33" i="7"/>
  <c r="H35" i="7"/>
  <c r="H34" i="7"/>
  <c r="H5" i="7"/>
  <c r="D30" i="8"/>
  <c r="N67" i="13"/>
  <c r="D7" i="13"/>
  <c r="M7" i="13"/>
  <c r="K19" i="2"/>
  <c r="I13" i="4"/>
  <c r="I13" i="1" l="1"/>
  <c r="B57" i="15" l="1"/>
  <c r="K73" i="2" l="1"/>
  <c r="I25" i="7"/>
  <c r="H23" i="7"/>
  <c r="H30" i="7" l="1"/>
  <c r="H52" i="4"/>
  <c r="H11" i="4"/>
  <c r="H12" i="4" s="1"/>
  <c r="H10" i="4"/>
  <c r="J16" i="2"/>
  <c r="H81" i="4"/>
  <c r="J143" i="2"/>
  <c r="J136" i="2"/>
  <c r="K136" i="2" s="1"/>
  <c r="I115" i="2"/>
  <c r="H115" i="2"/>
  <c r="H114" i="2"/>
  <c r="H66" i="4"/>
  <c r="H65" i="4"/>
  <c r="J115" i="2" l="1"/>
  <c r="I75" i="4"/>
  <c r="D40" i="8" l="1"/>
  <c r="D39" i="8"/>
  <c r="D38" i="8"/>
  <c r="D37" i="8"/>
  <c r="D36" i="8"/>
  <c r="F142" i="13"/>
  <c r="F141" i="13"/>
  <c r="F140" i="13"/>
  <c r="F139" i="13"/>
  <c r="F138" i="13"/>
  <c r="D43" i="8"/>
  <c r="E143" i="13"/>
  <c r="E139" i="13"/>
  <c r="E140" i="13"/>
  <c r="E141" i="13"/>
  <c r="E142" i="13"/>
  <c r="E138" i="13"/>
  <c r="O78" i="13"/>
  <c r="O77" i="13"/>
  <c r="D143" i="13"/>
  <c r="C143" i="13"/>
  <c r="F143" i="13" l="1"/>
  <c r="D35" i="8" l="1"/>
  <c r="J119" i="13"/>
  <c r="C37" i="8" s="1"/>
  <c r="J120" i="13"/>
  <c r="C38" i="8" s="1"/>
  <c r="J121" i="13"/>
  <c r="C39" i="8" s="1"/>
  <c r="J122" i="13"/>
  <c r="C40" i="8" s="1"/>
  <c r="J124" i="13"/>
  <c r="J125" i="13"/>
  <c r="J126" i="13"/>
  <c r="J127" i="13"/>
  <c r="J128" i="13"/>
  <c r="J130" i="13"/>
  <c r="J131" i="13"/>
  <c r="J132" i="13"/>
  <c r="J133" i="13"/>
  <c r="J118" i="13"/>
  <c r="C36" i="8" s="1"/>
  <c r="D129" i="13"/>
  <c r="E129" i="13"/>
  <c r="F129" i="13"/>
  <c r="G129" i="13"/>
  <c r="H129" i="13"/>
  <c r="C129" i="13"/>
  <c r="D123" i="13"/>
  <c r="E123" i="13"/>
  <c r="F123" i="13"/>
  <c r="G123" i="13"/>
  <c r="H123" i="13"/>
  <c r="C123" i="13"/>
  <c r="D117" i="13"/>
  <c r="E117" i="13"/>
  <c r="F117" i="13"/>
  <c r="G117" i="13"/>
  <c r="H117" i="13"/>
  <c r="C117" i="13"/>
  <c r="H21" i="2"/>
  <c r="H186" i="2"/>
  <c r="H184" i="2"/>
  <c r="H183" i="2"/>
  <c r="H182" i="2"/>
  <c r="H181" i="2"/>
  <c r="H178" i="2"/>
  <c r="H177" i="2"/>
  <c r="H174" i="2"/>
  <c r="H175" i="2"/>
  <c r="G134" i="13" l="1"/>
  <c r="O32" i="13" s="1"/>
  <c r="C134" i="13"/>
  <c r="F134" i="13"/>
  <c r="O12" i="13" s="1"/>
  <c r="H134" i="13"/>
  <c r="O52" i="13" s="1"/>
  <c r="C35" i="8"/>
  <c r="E134" i="13"/>
  <c r="D134" i="13"/>
  <c r="H6" i="4"/>
  <c r="C113" i="13"/>
  <c r="D47" i="8" s="1"/>
  <c r="L79" i="13" l="1"/>
  <c r="C79" i="13"/>
  <c r="O5" i="13"/>
  <c r="O53" i="13"/>
  <c r="L53" i="13"/>
  <c r="K53" i="13"/>
  <c r="J53" i="13"/>
  <c r="I53" i="13"/>
  <c r="H53" i="13"/>
  <c r="G53" i="13"/>
  <c r="F53" i="13"/>
  <c r="E53" i="13"/>
  <c r="D53" i="13"/>
  <c r="C53" i="13"/>
  <c r="C51" i="13" s="1"/>
  <c r="C33" i="13"/>
  <c r="C13" i="13"/>
  <c r="D86" i="13"/>
  <c r="C86" i="13"/>
  <c r="E90" i="13"/>
  <c r="E86" i="13" s="1"/>
  <c r="G85" i="13"/>
  <c r="C9" i="8"/>
  <c r="H27" i="2"/>
  <c r="I27" i="2"/>
  <c r="H22" i="2"/>
  <c r="H3" i="2"/>
  <c r="C108" i="13"/>
  <c r="N65" i="13"/>
  <c r="N63" i="13"/>
  <c r="N62" i="13"/>
  <c r="N61" i="13"/>
  <c r="N60" i="13"/>
  <c r="N59" i="13"/>
  <c r="N57" i="13"/>
  <c r="M65" i="13"/>
  <c r="M63" i="13"/>
  <c r="M62" i="13"/>
  <c r="M61" i="13"/>
  <c r="M60" i="13"/>
  <c r="M59" i="13"/>
  <c r="M57" i="13"/>
  <c r="O33" i="13"/>
  <c r="O31" i="13" s="1"/>
  <c r="M34" i="13"/>
  <c r="C5" i="13"/>
  <c r="C87" i="13" l="1"/>
  <c r="G86" i="13"/>
  <c r="M53" i="13"/>
  <c r="N53" i="13"/>
  <c r="I11" i="3"/>
  <c r="H35" i="1"/>
  <c r="J35" i="1" s="1"/>
  <c r="K35" i="1" s="1"/>
  <c r="M77" i="13"/>
  <c r="N77" i="13"/>
  <c r="Q77" i="13" s="1"/>
  <c r="C31" i="13"/>
  <c r="G79" i="13"/>
  <c r="D26" i="8" s="1"/>
  <c r="H79" i="13"/>
  <c r="D32" i="8" s="1"/>
  <c r="I79" i="13"/>
  <c r="D27" i="8" s="1"/>
  <c r="J79" i="13"/>
  <c r="D33" i="8" s="1"/>
  <c r="K79" i="13"/>
  <c r="D28" i="8" s="1"/>
  <c r="D34" i="8"/>
  <c r="D79" i="13"/>
  <c r="E79" i="13"/>
  <c r="F79" i="13"/>
  <c r="D31" i="8" s="1"/>
  <c r="D24" i="8"/>
  <c r="N81" i="13"/>
  <c r="Q81" i="13" s="1"/>
  <c r="M81" i="13"/>
  <c r="N78" i="13"/>
  <c r="Q78" i="13" s="1"/>
  <c r="M78" i="13"/>
  <c r="D25" i="8" l="1"/>
  <c r="D23" i="8" s="1"/>
  <c r="M79" i="13"/>
  <c r="D29" i="8"/>
  <c r="N79" i="13"/>
  <c r="D42" i="8" s="1"/>
  <c r="Q79" i="13"/>
  <c r="D44" i="8" s="1"/>
  <c r="N82" i="13" l="1"/>
  <c r="Q82" i="13" s="1"/>
  <c r="M82" i="13"/>
  <c r="H34" i="1"/>
  <c r="H33" i="1"/>
  <c r="H28" i="1"/>
  <c r="H27" i="1"/>
  <c r="D5" i="7" s="1"/>
  <c r="F126" i="2"/>
  <c r="G94" i="13"/>
  <c r="O51" i="13"/>
  <c r="M52" i="13"/>
  <c r="M73" i="13"/>
  <c r="N73" i="13"/>
  <c r="Q73" i="13" s="1"/>
  <c r="O13" i="13"/>
  <c r="C50" i="8"/>
  <c r="H38" i="7" l="1"/>
  <c r="I32" i="7"/>
  <c r="I19" i="7"/>
  <c r="C35" i="13" l="1"/>
  <c r="J52" i="4" l="1"/>
  <c r="C49" i="8"/>
  <c r="F15" i="13" l="1"/>
  <c r="D15" i="13"/>
  <c r="H15" i="13"/>
  <c r="I15" i="13"/>
  <c r="J15" i="13"/>
  <c r="L15" i="13"/>
  <c r="K25" i="13"/>
  <c r="K24" i="13"/>
  <c r="K23" i="13"/>
  <c r="K22" i="13"/>
  <c r="K19" i="13"/>
  <c r="G22" i="13"/>
  <c r="G19" i="13"/>
  <c r="E25" i="13"/>
  <c r="E24" i="13"/>
  <c r="E23" i="13"/>
  <c r="E22" i="13"/>
  <c r="E20" i="13"/>
  <c r="E19" i="13"/>
  <c r="E17" i="13"/>
  <c r="E16" i="13"/>
  <c r="C25" i="13"/>
  <c r="C24" i="13"/>
  <c r="C23" i="13"/>
  <c r="C22" i="13"/>
  <c r="C19" i="13"/>
  <c r="C17" i="13"/>
  <c r="C16" i="13"/>
  <c r="M16" i="13" l="1"/>
  <c r="C11" i="13"/>
  <c r="G15" i="13"/>
  <c r="K15" i="13"/>
  <c r="E15" i="13"/>
  <c r="C15" i="13"/>
  <c r="M15" i="13" l="1"/>
  <c r="I11" i="14"/>
  <c r="I17" i="4"/>
  <c r="I77" i="4"/>
  <c r="I71" i="4"/>
  <c r="I51" i="4"/>
  <c r="I32" i="4"/>
  <c r="I68" i="4"/>
  <c r="I47" i="4"/>
  <c r="I46" i="4"/>
  <c r="I44" i="4"/>
  <c r="I42" i="4"/>
  <c r="I41" i="4"/>
  <c r="I40" i="4"/>
  <c r="I39" i="4"/>
  <c r="I37" i="4"/>
  <c r="I34" i="4"/>
  <c r="I31" i="4"/>
  <c r="I27" i="4"/>
  <c r="I85" i="4"/>
  <c r="I82" i="4"/>
  <c r="I30" i="4"/>
  <c r="I20" i="4"/>
  <c r="I8" i="4"/>
  <c r="I10" i="4"/>
  <c r="I11" i="4"/>
  <c r="I12" i="4"/>
  <c r="G10" i="4"/>
  <c r="M32" i="13" l="1"/>
  <c r="M20" i="13"/>
  <c r="N20" i="13"/>
  <c r="M22" i="13"/>
  <c r="N22" i="13"/>
  <c r="M23" i="13"/>
  <c r="N23" i="13"/>
  <c r="M24" i="13"/>
  <c r="N24" i="13"/>
  <c r="M25" i="13"/>
  <c r="N25" i="13"/>
  <c r="H86" i="4"/>
  <c r="F152" i="2"/>
  <c r="J12" i="3"/>
  <c r="L12" i="3" s="1"/>
  <c r="J11" i="3"/>
  <c r="J8" i="3"/>
  <c r="L8" i="3" s="1"/>
  <c r="J7" i="3"/>
  <c r="N7" i="3" s="1"/>
  <c r="E12" i="4"/>
  <c r="E8" i="4"/>
  <c r="E19" i="4"/>
  <c r="E20" i="4"/>
  <c r="G20" i="4" s="1"/>
  <c r="E31" i="4"/>
  <c r="G31" i="4" s="1"/>
  <c r="E30" i="4"/>
  <c r="G30" i="4" s="1"/>
  <c r="E47" i="4"/>
  <c r="G47" i="4" s="1"/>
  <c r="G68" i="4"/>
  <c r="H74" i="4"/>
  <c r="J74" i="4" s="1"/>
  <c r="E82" i="4"/>
  <c r="G82" i="4" s="1"/>
  <c r="G84" i="4"/>
  <c r="G85" i="4"/>
  <c r="G89" i="4"/>
  <c r="G91" i="4"/>
  <c r="G93" i="4"/>
  <c r="G96" i="4"/>
  <c r="G97" i="4"/>
  <c r="E86" i="4"/>
  <c r="G86" i="4" s="1"/>
  <c r="H12" i="14"/>
  <c r="J12" i="14" s="1"/>
  <c r="K12" i="14" s="1"/>
  <c r="H11" i="14"/>
  <c r="J11" i="14" s="1"/>
  <c r="H3" i="4"/>
  <c r="J3" i="4" s="1"/>
  <c r="H32" i="7"/>
  <c r="H19" i="7"/>
  <c r="H216" i="2"/>
  <c r="H96" i="2"/>
  <c r="J96" i="2" s="1"/>
  <c r="H92" i="2"/>
  <c r="J92" i="2" s="1"/>
  <c r="H90" i="2"/>
  <c r="J90" i="2" s="1"/>
  <c r="H88" i="2"/>
  <c r="J88" i="2" s="1"/>
  <c r="H87" i="2"/>
  <c r="J87" i="2" s="1"/>
  <c r="H86" i="2"/>
  <c r="J86" i="2" s="1"/>
  <c r="H215" i="2"/>
  <c r="J215" i="2" s="1"/>
  <c r="H214" i="2"/>
  <c r="J214" i="2" s="1"/>
  <c r="H213" i="2"/>
  <c r="J213" i="2" s="1"/>
  <c r="H211" i="2"/>
  <c r="J211" i="2" s="1"/>
  <c r="H212" i="2"/>
  <c r="J212" i="2" s="1"/>
  <c r="H169" i="2"/>
  <c r="J169" i="2" s="1"/>
  <c r="H168" i="2"/>
  <c r="J168" i="2" s="1"/>
  <c r="H167" i="2"/>
  <c r="J167" i="2" s="1"/>
  <c r="H166" i="2"/>
  <c r="J166" i="2" s="1"/>
  <c r="H165" i="2"/>
  <c r="J165" i="2" s="1"/>
  <c r="H164" i="2"/>
  <c r="H163" i="2"/>
  <c r="J163" i="2" s="1"/>
  <c r="H162" i="2"/>
  <c r="J162" i="2" s="1"/>
  <c r="H161" i="2"/>
  <c r="J161" i="2" s="1"/>
  <c r="K115" i="2"/>
  <c r="J114" i="2"/>
  <c r="K114" i="2" s="1"/>
  <c r="H4" i="2"/>
  <c r="J4" i="2" s="1"/>
  <c r="J3" i="2"/>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O25" i="16"/>
  <c r="P25" i="16"/>
  <c r="O7" i="16"/>
  <c r="P7" i="16"/>
  <c r="G81" i="4"/>
  <c r="G77" i="4"/>
  <c r="G76" i="4"/>
  <c r="G75" i="4"/>
  <c r="G74" i="4"/>
  <c r="G71" i="4"/>
  <c r="G66" i="4"/>
  <c r="G65" i="4"/>
  <c r="G63" i="4"/>
  <c r="G58" i="4"/>
  <c r="G57" i="4"/>
  <c r="G54" i="4"/>
  <c r="G51" i="4"/>
  <c r="G49" i="4"/>
  <c r="G48" i="4"/>
  <c r="G46" i="4"/>
  <c r="G44" i="4"/>
  <c r="G42" i="4"/>
  <c r="G41" i="4"/>
  <c r="G40" i="4"/>
  <c r="G39" i="4"/>
  <c r="G37" i="4"/>
  <c r="G34" i="4"/>
  <c r="G33" i="4"/>
  <c r="G32" i="4"/>
  <c r="G29" i="4"/>
  <c r="G28" i="4"/>
  <c r="G27" i="4"/>
  <c r="G26" i="4"/>
  <c r="G25" i="4"/>
  <c r="G24" i="4"/>
  <c r="G23" i="4"/>
  <c r="G22" i="4"/>
  <c r="G19" i="4"/>
  <c r="G17" i="4"/>
  <c r="G16" i="4"/>
  <c r="G4" i="4"/>
  <c r="G5" i="4"/>
  <c r="G6" i="4"/>
  <c r="G7" i="4"/>
  <c r="G8" i="4"/>
  <c r="G9" i="4"/>
  <c r="G11" i="4"/>
  <c r="G12" i="4"/>
  <c r="G13" i="4"/>
  <c r="G3" i="4"/>
  <c r="G4" i="14"/>
  <c r="H4" i="14"/>
  <c r="J4" i="14" s="1"/>
  <c r="I4" i="3"/>
  <c r="G4" i="3"/>
  <c r="H203" i="2"/>
  <c r="J203" i="2" s="1"/>
  <c r="G203" i="2"/>
  <c r="G176" i="2"/>
  <c r="G177" i="2"/>
  <c r="G178" i="2"/>
  <c r="G179" i="2"/>
  <c r="G180" i="2"/>
  <c r="G181" i="2"/>
  <c r="G182" i="2"/>
  <c r="G183" i="2"/>
  <c r="G184" i="2"/>
  <c r="G171" i="2"/>
  <c r="G172" i="2"/>
  <c r="G173" i="2"/>
  <c r="G174" i="2"/>
  <c r="G175" i="2"/>
  <c r="F131" i="2"/>
  <c r="C19" i="8"/>
  <c r="C20" i="8" s="1"/>
  <c r="C18" i="8" s="1"/>
  <c r="C117" i="16"/>
  <c r="F109" i="2"/>
  <c r="F115" i="2"/>
  <c r="F114" i="2"/>
  <c r="F122" i="2"/>
  <c r="F129" i="2"/>
  <c r="F128" i="2"/>
  <c r="F127" i="2"/>
  <c r="F82" i="2"/>
  <c r="F51" i="2"/>
  <c r="F65" i="2"/>
  <c r="F64" i="2"/>
  <c r="F46" i="2"/>
  <c r="F43" i="2"/>
  <c r="F35" i="2"/>
  <c r="F33" i="2"/>
  <c r="F30" i="2"/>
  <c r="F29" i="2"/>
  <c r="F20" i="2"/>
  <c r="F16" i="2"/>
  <c r="F8" i="2"/>
  <c r="F7" i="2"/>
  <c r="C57" i="15"/>
  <c r="I26" i="7"/>
  <c r="H89" i="4"/>
  <c r="J89" i="4" s="1"/>
  <c r="H91" i="4"/>
  <c r="J91" i="4" s="1"/>
  <c r="J164" i="2"/>
  <c r="C55" i="13"/>
  <c r="C67" i="13" s="1"/>
  <c r="D55" i="13"/>
  <c r="E55" i="13"/>
  <c r="F55" i="13"/>
  <c r="G55" i="13"/>
  <c r="H55" i="13"/>
  <c r="I55" i="13"/>
  <c r="J55" i="13"/>
  <c r="K55" i="13"/>
  <c r="L55" i="13"/>
  <c r="K35" i="13"/>
  <c r="L35" i="13"/>
  <c r="E35" i="13"/>
  <c r="F35" i="13"/>
  <c r="G35" i="13"/>
  <c r="H35" i="13"/>
  <c r="I35" i="13"/>
  <c r="J35" i="13"/>
  <c r="D35" i="13"/>
  <c r="C47" i="13"/>
  <c r="J57" i="2"/>
  <c r="D108" i="13"/>
  <c r="D87" i="13" s="1"/>
  <c r="O35" i="13"/>
  <c r="N42" i="13"/>
  <c r="M42" i="13"/>
  <c r="N4" i="3"/>
  <c r="O4" i="3" s="1"/>
  <c r="L4" i="3"/>
  <c r="H5" i="14"/>
  <c r="J5" i="14" s="1"/>
  <c r="K5" i="14" s="1"/>
  <c r="C55" i="8"/>
  <c r="J72" i="2" s="1"/>
  <c r="K72" i="2" s="1"/>
  <c r="H97" i="4"/>
  <c r="J97" i="4" s="1"/>
  <c r="K97" i="4" s="1"/>
  <c r="H6" i="2"/>
  <c r="J6" i="2" s="1"/>
  <c r="I14" i="1"/>
  <c r="J14" i="1" s="1"/>
  <c r="K14" i="1" s="1"/>
  <c r="O13" i="16"/>
  <c r="P13" i="16"/>
  <c r="O11" i="16"/>
  <c r="P11" i="16"/>
  <c r="O10" i="16"/>
  <c r="P10" i="16"/>
  <c r="O9" i="16"/>
  <c r="P9" i="16"/>
  <c r="O8" i="16"/>
  <c r="P8" i="16"/>
  <c r="D5" i="13"/>
  <c r="E5" i="13"/>
  <c r="F5" i="13"/>
  <c r="G5" i="13"/>
  <c r="H5" i="13"/>
  <c r="I5" i="13"/>
  <c r="J5" i="13"/>
  <c r="K5" i="13"/>
  <c r="L5" i="13"/>
  <c r="C3" i="8"/>
  <c r="H221" i="2" s="1"/>
  <c r="J221" i="2" s="1"/>
  <c r="H36" i="7"/>
  <c r="C57" i="8"/>
  <c r="I22" i="7" s="1"/>
  <c r="I21" i="7"/>
  <c r="I20" i="7"/>
  <c r="H220" i="2"/>
  <c r="J220" i="2" s="1"/>
  <c r="H172" i="2"/>
  <c r="O68" i="16"/>
  <c r="P68" i="16"/>
  <c r="O67" i="16"/>
  <c r="P67" i="16"/>
  <c r="O66" i="16"/>
  <c r="P66" i="16"/>
  <c r="O65" i="16"/>
  <c r="P65" i="16"/>
  <c r="O64" i="16"/>
  <c r="P64" i="16"/>
  <c r="O63" i="16"/>
  <c r="P63" i="16"/>
  <c r="O62" i="16"/>
  <c r="P62" i="16"/>
  <c r="O61" i="16"/>
  <c r="P61" i="16"/>
  <c r="N52" i="13"/>
  <c r="D33" i="13"/>
  <c r="D31" i="13" s="1"/>
  <c r="E33" i="13"/>
  <c r="F33" i="13"/>
  <c r="F31" i="13" s="1"/>
  <c r="G33" i="13"/>
  <c r="G31" i="13" s="1"/>
  <c r="H33" i="13"/>
  <c r="H31" i="13" s="1"/>
  <c r="I33" i="13"/>
  <c r="I31" i="13" s="1"/>
  <c r="J33" i="13"/>
  <c r="J31" i="13" s="1"/>
  <c r="K33" i="13"/>
  <c r="K31" i="13" s="1"/>
  <c r="L33" i="13"/>
  <c r="L31" i="13" s="1"/>
  <c r="N32" i="13"/>
  <c r="D13" i="13"/>
  <c r="E13" i="13"/>
  <c r="F13" i="13"/>
  <c r="G13" i="13"/>
  <c r="H13" i="13"/>
  <c r="I13" i="13"/>
  <c r="J13" i="13"/>
  <c r="K13" i="13"/>
  <c r="L13" i="13"/>
  <c r="N12" i="13"/>
  <c r="M12" i="13"/>
  <c r="L51" i="13"/>
  <c r="K51" i="13"/>
  <c r="J51" i="13"/>
  <c r="I51" i="13"/>
  <c r="H51" i="13"/>
  <c r="G51" i="13"/>
  <c r="F51" i="13"/>
  <c r="E51" i="13"/>
  <c r="C4" i="13"/>
  <c r="M72" i="13"/>
  <c r="N72" i="13"/>
  <c r="Q72" i="13" s="1"/>
  <c r="N71" i="13"/>
  <c r="Q71" i="13" s="1"/>
  <c r="M71" i="13"/>
  <c r="O55" i="13"/>
  <c r="O15" i="13"/>
  <c r="H14" i="14"/>
  <c r="J14" i="14" s="1"/>
  <c r="K14" i="14" s="1"/>
  <c r="H218" i="2"/>
  <c r="J218" i="2" s="1"/>
  <c r="H103" i="2"/>
  <c r="J103" i="2" s="1"/>
  <c r="H222" i="2"/>
  <c r="J222" i="2" s="1"/>
  <c r="H24" i="4"/>
  <c r="J24" i="4" s="1"/>
  <c r="H84" i="2"/>
  <c r="J84" i="2" s="1"/>
  <c r="J186" i="2"/>
  <c r="J184" i="2"/>
  <c r="J183" i="2"/>
  <c r="J182" i="2"/>
  <c r="J180" i="2"/>
  <c r="J177" i="2"/>
  <c r="H173" i="2"/>
  <c r="H171" i="2"/>
  <c r="J171" i="2" s="1"/>
  <c r="J170" i="2"/>
  <c r="O100" i="16"/>
  <c r="P100" i="16"/>
  <c r="O99" i="16"/>
  <c r="P99" i="16"/>
  <c r="O98" i="16"/>
  <c r="P98" i="16"/>
  <c r="O97" i="16"/>
  <c r="P97" i="16"/>
  <c r="O96" i="16"/>
  <c r="P96" i="16"/>
  <c r="O95" i="16"/>
  <c r="P95" i="16"/>
  <c r="O94" i="16"/>
  <c r="P94" i="16"/>
  <c r="O93" i="16"/>
  <c r="P93" i="16"/>
  <c r="O92" i="16"/>
  <c r="P92" i="16"/>
  <c r="O91" i="16"/>
  <c r="P91" i="16"/>
  <c r="O90" i="16"/>
  <c r="P90" i="16"/>
  <c r="O89" i="16"/>
  <c r="P89" i="16"/>
  <c r="O88" i="16"/>
  <c r="P88" i="16"/>
  <c r="O87" i="16"/>
  <c r="P87" i="16"/>
  <c r="O86" i="16"/>
  <c r="P86" i="16"/>
  <c r="O85" i="16"/>
  <c r="P85" i="16"/>
  <c r="O84" i="16"/>
  <c r="P84" i="16"/>
  <c r="O83" i="16"/>
  <c r="P83" i="16"/>
  <c r="O82" i="16"/>
  <c r="P82" i="16"/>
  <c r="O81" i="16"/>
  <c r="P81" i="16"/>
  <c r="O80" i="16"/>
  <c r="P80" i="16"/>
  <c r="O79" i="16"/>
  <c r="P79" i="16"/>
  <c r="O78" i="16"/>
  <c r="P78" i="16"/>
  <c r="O77" i="16"/>
  <c r="P77" i="16"/>
  <c r="O76" i="16"/>
  <c r="P76" i="16"/>
  <c r="O75" i="16"/>
  <c r="P75" i="16"/>
  <c r="O74" i="16"/>
  <c r="P74" i="16"/>
  <c r="O73" i="16"/>
  <c r="P73" i="16"/>
  <c r="O72" i="16"/>
  <c r="P72" i="16"/>
  <c r="O71" i="16"/>
  <c r="P71" i="16"/>
  <c r="O70" i="16"/>
  <c r="P70" i="16"/>
  <c r="O69" i="16"/>
  <c r="P69" i="16"/>
  <c r="O60" i="16"/>
  <c r="P60" i="16"/>
  <c r="O59" i="16"/>
  <c r="P59" i="16"/>
  <c r="O58" i="16"/>
  <c r="P58" i="16"/>
  <c r="O57" i="16"/>
  <c r="P57" i="16"/>
  <c r="O56" i="16"/>
  <c r="P56" i="16"/>
  <c r="O55" i="16"/>
  <c r="P55" i="16"/>
  <c r="O54" i="16"/>
  <c r="P54" i="16"/>
  <c r="O53" i="16"/>
  <c r="P53" i="16"/>
  <c r="O52" i="16"/>
  <c r="P52" i="16"/>
  <c r="O51" i="16"/>
  <c r="P51" i="16"/>
  <c r="O50" i="16"/>
  <c r="P50" i="16"/>
  <c r="O49" i="16"/>
  <c r="P49" i="16"/>
  <c r="O48" i="16"/>
  <c r="P48" i="16"/>
  <c r="O47" i="16"/>
  <c r="P47" i="16"/>
  <c r="O46" i="16"/>
  <c r="P46" i="16"/>
  <c r="O45" i="16"/>
  <c r="P45" i="16"/>
  <c r="O44" i="16"/>
  <c r="P44" i="16"/>
  <c r="O43" i="16"/>
  <c r="P43" i="16"/>
  <c r="O42" i="16"/>
  <c r="P42" i="16"/>
  <c r="O41" i="16"/>
  <c r="P41" i="16"/>
  <c r="O40" i="16"/>
  <c r="P40" i="16"/>
  <c r="O39" i="16"/>
  <c r="P39" i="16"/>
  <c r="O38" i="16"/>
  <c r="P38" i="16"/>
  <c r="O37" i="16"/>
  <c r="P37" i="16"/>
  <c r="O36" i="16"/>
  <c r="P36" i="16"/>
  <c r="O35" i="16"/>
  <c r="P35" i="16"/>
  <c r="O34" i="16"/>
  <c r="P34" i="16"/>
  <c r="O33" i="16"/>
  <c r="P33" i="16"/>
  <c r="O32" i="16"/>
  <c r="P32" i="16"/>
  <c r="O31" i="16"/>
  <c r="P31" i="16"/>
  <c r="O30" i="16"/>
  <c r="P30" i="16"/>
  <c r="O29" i="16"/>
  <c r="P29" i="16"/>
  <c r="O28" i="16"/>
  <c r="P28" i="16"/>
  <c r="O27" i="16"/>
  <c r="P27" i="16"/>
  <c r="O26" i="16"/>
  <c r="P26" i="16"/>
  <c r="O24" i="16"/>
  <c r="P24" i="16"/>
  <c r="O23" i="16"/>
  <c r="P23" i="16"/>
  <c r="O22" i="16"/>
  <c r="P22" i="16"/>
  <c r="O21" i="16"/>
  <c r="P21" i="16"/>
  <c r="O20" i="16"/>
  <c r="P20" i="16"/>
  <c r="O19" i="16"/>
  <c r="P19" i="16"/>
  <c r="O18" i="16"/>
  <c r="P18" i="16"/>
  <c r="O17" i="16"/>
  <c r="P17" i="16"/>
  <c r="O16" i="16"/>
  <c r="P16" i="16"/>
  <c r="O15" i="16"/>
  <c r="P15" i="16"/>
  <c r="O14" i="16"/>
  <c r="P14" i="16"/>
  <c r="O12" i="16"/>
  <c r="P12" i="16"/>
  <c r="A8" i="16"/>
  <c r="F7" i="15"/>
  <c r="E7" i="15"/>
  <c r="J10" i="3"/>
  <c r="L10" i="3" s="1"/>
  <c r="K77" i="2"/>
  <c r="K78" i="2"/>
  <c r="K80" i="2"/>
  <c r="K81" i="2"/>
  <c r="K97" i="2"/>
  <c r="K104" i="2"/>
  <c r="K105" i="2"/>
  <c r="K106" i="2"/>
  <c r="K107" i="2"/>
  <c r="K108" i="2"/>
  <c r="K110" i="2"/>
  <c r="K116" i="2"/>
  <c r="K117" i="2"/>
  <c r="K118" i="2"/>
  <c r="K119" i="2"/>
  <c r="K120" i="2"/>
  <c r="K121" i="2"/>
  <c r="K123" i="2"/>
  <c r="K130" i="2"/>
  <c r="K132" i="2"/>
  <c r="K135" i="2"/>
  <c r="K137" i="2"/>
  <c r="K138" i="2"/>
  <c r="K139" i="2"/>
  <c r="K140" i="2"/>
  <c r="K141" i="2"/>
  <c r="K142" i="2"/>
  <c r="K144" i="2"/>
  <c r="K148" i="2"/>
  <c r="K157" i="2"/>
  <c r="K158" i="2"/>
  <c r="K159" i="2"/>
  <c r="K160" i="2"/>
  <c r="K185" i="2"/>
  <c r="K187" i="2"/>
  <c r="K188" i="2"/>
  <c r="K191" i="2"/>
  <c r="K192" i="2"/>
  <c r="K193" i="2"/>
  <c r="K196" i="2"/>
  <c r="K210" i="2"/>
  <c r="K217" i="2"/>
  <c r="J71" i="2"/>
  <c r="H10" i="14"/>
  <c r="J10" i="14" s="1"/>
  <c r="H31" i="4"/>
  <c r="J31" i="4" s="1"/>
  <c r="H30" i="4"/>
  <c r="J30" i="4" s="1"/>
  <c r="M45" i="13"/>
  <c r="N45" i="13"/>
  <c r="N34" i="13"/>
  <c r="Q34" i="13" s="1"/>
  <c r="M14" i="13"/>
  <c r="N14" i="13"/>
  <c r="Q14" i="13" s="1"/>
  <c r="N16" i="13"/>
  <c r="M17" i="13"/>
  <c r="N17" i="13"/>
  <c r="M19" i="13"/>
  <c r="N19" i="13"/>
  <c r="M36" i="13"/>
  <c r="N36" i="13"/>
  <c r="M37" i="13"/>
  <c r="N37" i="13"/>
  <c r="M39" i="13"/>
  <c r="N39" i="13"/>
  <c r="M40" i="13"/>
  <c r="N40" i="13"/>
  <c r="M43" i="13"/>
  <c r="N43" i="13"/>
  <c r="M44" i="13"/>
  <c r="N44" i="13"/>
  <c r="M56" i="13"/>
  <c r="N56" i="13"/>
  <c r="N54" i="13"/>
  <c r="M54" i="13"/>
  <c r="H29" i="4"/>
  <c r="J29" i="4" s="1"/>
  <c r="H23" i="4"/>
  <c r="J23" i="4" s="1"/>
  <c r="H48" i="4"/>
  <c r="J48" i="4" s="1"/>
  <c r="J54" i="4"/>
  <c r="H84" i="4"/>
  <c r="I86" i="4"/>
  <c r="I84" i="4"/>
  <c r="J81" i="4"/>
  <c r="J44" i="4"/>
  <c r="J37" i="4"/>
  <c r="J42" i="4"/>
  <c r="J41" i="4"/>
  <c r="J40" i="4"/>
  <c r="J39" i="4"/>
  <c r="J85" i="4"/>
  <c r="K14" i="4"/>
  <c r="K15" i="4"/>
  <c r="K18" i="4"/>
  <c r="K21" i="4"/>
  <c r="K35" i="4"/>
  <c r="K36" i="4"/>
  <c r="K38" i="4"/>
  <c r="K43" i="4"/>
  <c r="K45" i="4"/>
  <c r="K50" i="4"/>
  <c r="K52" i="4"/>
  <c r="K53" i="4"/>
  <c r="K55" i="4"/>
  <c r="K56" i="4"/>
  <c r="K59" i="4"/>
  <c r="K60" i="4"/>
  <c r="K61" i="4"/>
  <c r="K62" i="4"/>
  <c r="K64" i="4"/>
  <c r="K67" i="4"/>
  <c r="K69" i="4"/>
  <c r="K70" i="4"/>
  <c r="K72" i="4"/>
  <c r="K73" i="4"/>
  <c r="K78" i="4"/>
  <c r="K79" i="4"/>
  <c r="K80" i="4"/>
  <c r="K83" i="4"/>
  <c r="K87" i="4"/>
  <c r="K88" i="4"/>
  <c r="K90" i="4"/>
  <c r="K92" i="4"/>
  <c r="K94" i="4"/>
  <c r="J34" i="4"/>
  <c r="J33" i="4"/>
  <c r="K33" i="4" s="1"/>
  <c r="J32" i="4"/>
  <c r="J28" i="4"/>
  <c r="J27" i="4"/>
  <c r="J26" i="4"/>
  <c r="J25" i="4"/>
  <c r="H77" i="4"/>
  <c r="J77" i="4" s="1"/>
  <c r="J76" i="4"/>
  <c r="J71" i="4"/>
  <c r="J66" i="4"/>
  <c r="J65" i="4"/>
  <c r="J63" i="4"/>
  <c r="J49" i="4"/>
  <c r="H47" i="4"/>
  <c r="J47" i="4" s="1"/>
  <c r="J51" i="4"/>
  <c r="J46" i="4"/>
  <c r="K46" i="4" s="1"/>
  <c r="I19" i="4"/>
  <c r="H9" i="4"/>
  <c r="J9" i="4" s="1"/>
  <c r="H7" i="4"/>
  <c r="J7" i="4" s="1"/>
  <c r="J6" i="4"/>
  <c r="J8" i="14"/>
  <c r="J7" i="14"/>
  <c r="J6" i="14"/>
  <c r="K6" i="14" s="1"/>
  <c r="J3" i="14"/>
  <c r="K3" i="14" s="1"/>
  <c r="G3" i="14"/>
  <c r="H109" i="2"/>
  <c r="H83" i="2"/>
  <c r="J83" i="2" s="1"/>
  <c r="J154" i="2"/>
  <c r="J155" i="2"/>
  <c r="J156" i="2"/>
  <c r="H131" i="2"/>
  <c r="H126" i="2"/>
  <c r="J153" i="2"/>
  <c r="H122" i="2"/>
  <c r="I216" i="2"/>
  <c r="J176" i="2"/>
  <c r="I145" i="2"/>
  <c r="J145" i="2" s="1"/>
  <c r="I134" i="2"/>
  <c r="H134" i="2"/>
  <c r="H133" i="2"/>
  <c r="J133" i="2" s="1"/>
  <c r="H129" i="2"/>
  <c r="H128" i="2"/>
  <c r="H127" i="2"/>
  <c r="H125" i="2"/>
  <c r="J125" i="2" s="1"/>
  <c r="H124" i="2"/>
  <c r="J124" i="2" s="1"/>
  <c r="J113" i="2"/>
  <c r="J112" i="2"/>
  <c r="J111" i="2"/>
  <c r="J102" i="2"/>
  <c r="H100" i="2"/>
  <c r="J100" i="2" s="1"/>
  <c r="H99" i="2"/>
  <c r="J99" i="2" s="1"/>
  <c r="H98" i="2"/>
  <c r="J98" i="2" s="1"/>
  <c r="H101" i="2"/>
  <c r="J101" i="2" s="1"/>
  <c r="H82" i="2"/>
  <c r="J95" i="2"/>
  <c r="J94" i="2"/>
  <c r="J93" i="2"/>
  <c r="J89" i="2"/>
  <c r="H85" i="2"/>
  <c r="J85" i="2" s="1"/>
  <c r="H51" i="2"/>
  <c r="H20" i="2"/>
  <c r="H26" i="2"/>
  <c r="J26" i="2" s="1"/>
  <c r="H25" i="2"/>
  <c r="J25" i="2" s="1"/>
  <c r="H24" i="2"/>
  <c r="J24" i="2" s="1"/>
  <c r="H33" i="2"/>
  <c r="H35" i="2"/>
  <c r="H72" i="2"/>
  <c r="I62" i="2"/>
  <c r="H62" i="2"/>
  <c r="I68" i="2"/>
  <c r="H68" i="2"/>
  <c r="H67" i="2"/>
  <c r="J67" i="2" s="1"/>
  <c r="H66" i="2"/>
  <c r="J66" i="2" s="1"/>
  <c r="H65" i="2"/>
  <c r="H64" i="2"/>
  <c r="H55" i="2"/>
  <c r="J55" i="2" s="1"/>
  <c r="H54" i="2"/>
  <c r="J54" i="2" s="1"/>
  <c r="H59" i="2"/>
  <c r="J59" i="2" s="1"/>
  <c r="H58" i="2"/>
  <c r="J58" i="2" s="1"/>
  <c r="J56" i="2"/>
  <c r="J53" i="2"/>
  <c r="J52" i="2"/>
  <c r="H49" i="2"/>
  <c r="J49" i="2" s="1"/>
  <c r="H48" i="2"/>
  <c r="J48" i="2" s="1"/>
  <c r="H47" i="2"/>
  <c r="J47" i="2" s="1"/>
  <c r="H46" i="2"/>
  <c r="H45" i="2"/>
  <c r="J45" i="2" s="1"/>
  <c r="H43" i="2"/>
  <c r="H40" i="2"/>
  <c r="J40" i="2" s="1"/>
  <c r="H39" i="2"/>
  <c r="J39" i="2" s="1"/>
  <c r="H38" i="2"/>
  <c r="J38" i="2" s="1"/>
  <c r="H37" i="2"/>
  <c r="J37" i="2" s="1"/>
  <c r="H36" i="2"/>
  <c r="J36" i="2" s="1"/>
  <c r="H30" i="2"/>
  <c r="H29" i="2"/>
  <c r="G28" i="2"/>
  <c r="H10" i="2"/>
  <c r="J10" i="2" s="1"/>
  <c r="H9" i="2"/>
  <c r="J9" i="2" s="1"/>
  <c r="H8" i="2"/>
  <c r="H7" i="2"/>
  <c r="H5" i="2"/>
  <c r="J5" i="2" s="1"/>
  <c r="H18" i="2"/>
  <c r="J18" i="2" s="1"/>
  <c r="H17" i="2"/>
  <c r="J17" i="2" s="1"/>
  <c r="H16" i="2"/>
  <c r="H15" i="2"/>
  <c r="J15" i="2" s="1"/>
  <c r="H14" i="2"/>
  <c r="J14" i="2" s="1"/>
  <c r="J22" i="2"/>
  <c r="J21" i="2"/>
  <c r="J28" i="2"/>
  <c r="J208" i="2"/>
  <c r="H209" i="2"/>
  <c r="J209" i="2" s="1"/>
  <c r="H207" i="2"/>
  <c r="J207" i="2" s="1"/>
  <c r="H204" i="2"/>
  <c r="J204" i="2" s="1"/>
  <c r="H202" i="2"/>
  <c r="J202" i="2" s="1"/>
  <c r="H200" i="2"/>
  <c r="J200" i="2" s="1"/>
  <c r="H201" i="2"/>
  <c r="J201" i="2" s="1"/>
  <c r="H199" i="2"/>
  <c r="J199" i="2" s="1"/>
  <c r="H198" i="2"/>
  <c r="J198" i="2" s="1"/>
  <c r="H197" i="2"/>
  <c r="J197" i="2" s="1"/>
  <c r="H195" i="2"/>
  <c r="J195" i="2" s="1"/>
  <c r="H194" i="2"/>
  <c r="J194" i="2" s="1"/>
  <c r="H189" i="2"/>
  <c r="J189" i="2" s="1"/>
  <c r="H152" i="2"/>
  <c r="H151" i="2"/>
  <c r="J151" i="2" s="1"/>
  <c r="H150" i="2"/>
  <c r="J150" i="2" s="1"/>
  <c r="H149" i="2"/>
  <c r="J149" i="2" s="1"/>
  <c r="H147" i="2"/>
  <c r="J147" i="2" s="1"/>
  <c r="H143" i="2"/>
  <c r="I143" i="2" s="1"/>
  <c r="I15" i="1"/>
  <c r="J15" i="1" s="1"/>
  <c r="K15" i="1" s="1"/>
  <c r="I16" i="1"/>
  <c r="J16" i="1" s="1"/>
  <c r="K16" i="1" s="1"/>
  <c r="I17" i="1"/>
  <c r="J17" i="1" s="1"/>
  <c r="K17" i="1" s="1"/>
  <c r="J13" i="1"/>
  <c r="K13" i="1" s="1"/>
  <c r="I10" i="1"/>
  <c r="J10" i="1" s="1"/>
  <c r="K10" i="1" s="1"/>
  <c r="I8" i="1"/>
  <c r="J8" i="1" s="1"/>
  <c r="K8" i="1" s="1"/>
  <c r="I5" i="1"/>
  <c r="I4" i="1"/>
  <c r="I3" i="1"/>
  <c r="J3" i="1" s="1"/>
  <c r="K3" i="1" s="1"/>
  <c r="K11" i="2"/>
  <c r="K12" i="2"/>
  <c r="K13" i="2"/>
  <c r="K23" i="2"/>
  <c r="K31" i="2"/>
  <c r="K32" i="2"/>
  <c r="K34" i="2"/>
  <c r="K41" i="2"/>
  <c r="K42" i="2"/>
  <c r="K44" i="2"/>
  <c r="K50" i="2"/>
  <c r="K60" i="2"/>
  <c r="K61" i="2"/>
  <c r="K69" i="2"/>
  <c r="K70" i="2"/>
  <c r="K75" i="2"/>
  <c r="K76" i="2"/>
  <c r="N5" i="3"/>
  <c r="O9" i="3"/>
  <c r="O6" i="3"/>
  <c r="I16" i="3"/>
  <c r="I15" i="3"/>
  <c r="I12" i="3"/>
  <c r="I10" i="3"/>
  <c r="I8" i="3"/>
  <c r="I7" i="3"/>
  <c r="I5" i="3"/>
  <c r="I3" i="3"/>
  <c r="G16" i="3"/>
  <c r="G15" i="3"/>
  <c r="G12" i="3"/>
  <c r="G11" i="3"/>
  <c r="G10" i="3"/>
  <c r="G8" i="3"/>
  <c r="G7" i="3"/>
  <c r="G3" i="3"/>
  <c r="J11" i="1"/>
  <c r="K11" i="1" s="1"/>
  <c r="J12" i="1"/>
  <c r="K12" i="1" s="1"/>
  <c r="G12" i="14"/>
  <c r="F3" i="7"/>
  <c r="F14" i="7" s="1"/>
  <c r="G111" i="2"/>
  <c r="G95" i="2"/>
  <c r="G3" i="2"/>
  <c r="G4" i="2"/>
  <c r="G5" i="2"/>
  <c r="G6" i="2"/>
  <c r="G10" i="2"/>
  <c r="G21" i="2"/>
  <c r="G22" i="2"/>
  <c r="G37" i="2"/>
  <c r="G39" i="2"/>
  <c r="G45" i="2"/>
  <c r="G52" i="2"/>
  <c r="G53" i="2"/>
  <c r="G54" i="2"/>
  <c r="G56" i="2"/>
  <c r="G57" i="2"/>
  <c r="G66" i="2"/>
  <c r="G67" i="2"/>
  <c r="K74" i="2"/>
  <c r="G83" i="2"/>
  <c r="G84" i="2"/>
  <c r="G86" i="2"/>
  <c r="G87" i="2"/>
  <c r="G89" i="2"/>
  <c r="G91" i="2"/>
  <c r="G93" i="2"/>
  <c r="G94" i="2"/>
  <c r="G96" i="2"/>
  <c r="G98" i="2"/>
  <c r="G99" i="2"/>
  <c r="G102" i="2"/>
  <c r="G113" i="2"/>
  <c r="G124" i="2"/>
  <c r="G125" i="2"/>
  <c r="G133" i="2"/>
  <c r="G147" i="2"/>
  <c r="G151" i="2"/>
  <c r="G153" i="2"/>
  <c r="G154" i="2"/>
  <c r="G155" i="2"/>
  <c r="G156" i="2"/>
  <c r="G170" i="2"/>
  <c r="J179" i="2"/>
  <c r="G194" i="2"/>
  <c r="G205" i="2"/>
  <c r="G208" i="2"/>
  <c r="L15" i="3"/>
  <c r="N15" i="3" s="1"/>
  <c r="L16" i="3"/>
  <c r="N16" i="3" s="1"/>
  <c r="J5" i="1"/>
  <c r="K5" i="1" s="1"/>
  <c r="J21" i="1"/>
  <c r="K21" i="1" s="1"/>
  <c r="J22" i="1"/>
  <c r="K22" i="1" s="1"/>
  <c r="J23" i="1"/>
  <c r="K23" i="1" s="1"/>
  <c r="J24" i="1"/>
  <c r="K24" i="1" s="1"/>
  <c r="J25" i="1"/>
  <c r="K25" i="1" s="1"/>
  <c r="J27" i="1"/>
  <c r="K27" i="1" s="1"/>
  <c r="J28" i="1"/>
  <c r="K28" i="1" s="1"/>
  <c r="J31" i="1"/>
  <c r="K31" i="1" s="1"/>
  <c r="J32" i="1"/>
  <c r="K32" i="1" s="1"/>
  <c r="J33" i="1"/>
  <c r="K33" i="1" s="1"/>
  <c r="J34" i="1"/>
  <c r="K34" i="1" s="1"/>
  <c r="G7" i="14"/>
  <c r="G11" i="14"/>
  <c r="G5" i="14"/>
  <c r="G6" i="14"/>
  <c r="L5" i="3"/>
  <c r="H219" i="2"/>
  <c r="J219" i="2" s="1"/>
  <c r="H96" i="4"/>
  <c r="J96" i="4" s="1"/>
  <c r="K96" i="4" s="1"/>
  <c r="G13" i="14"/>
  <c r="J13" i="3"/>
  <c r="L13" i="3" s="1"/>
  <c r="N13" i="3" s="1"/>
  <c r="H93" i="4"/>
  <c r="J93" i="4" s="1"/>
  <c r="G58" i="2"/>
  <c r="G55" i="2"/>
  <c r="G48" i="2"/>
  <c r="G36" i="2"/>
  <c r="G26" i="2"/>
  <c r="G24" i="2"/>
  <c r="G15" i="2"/>
  <c r="G68" i="2"/>
  <c r="G71" i="2"/>
  <c r="G18" i="2"/>
  <c r="G92" i="2"/>
  <c r="G190" i="2"/>
  <c r="G40" i="2"/>
  <c r="G38" i="2"/>
  <c r="G168" i="2"/>
  <c r="G166" i="2"/>
  <c r="G164" i="2"/>
  <c r="G162" i="2"/>
  <c r="G222" i="2"/>
  <c r="G112" i="2"/>
  <c r="G134" i="2"/>
  <c r="G101" i="2"/>
  <c r="G216" i="2"/>
  <c r="G186" i="2"/>
  <c r="G220" i="2"/>
  <c r="G215" i="2"/>
  <c r="G213" i="2"/>
  <c r="G211" i="2"/>
  <c r="G169" i="2"/>
  <c r="G167" i="2"/>
  <c r="G165" i="2"/>
  <c r="G163" i="2"/>
  <c r="G161" i="2"/>
  <c r="G145" i="2"/>
  <c r="G103" i="2"/>
  <c r="G88" i="2"/>
  <c r="G85" i="2"/>
  <c r="K79" i="2"/>
  <c r="K63" i="2"/>
  <c r="G59" i="2"/>
  <c r="G17" i="2"/>
  <c r="G14" i="2"/>
  <c r="G8" i="14"/>
  <c r="G201" i="2"/>
  <c r="G199" i="2"/>
  <c r="G197" i="2"/>
  <c r="G90" i="2"/>
  <c r="N3" i="3"/>
  <c r="L3" i="3"/>
  <c r="G214" i="2"/>
  <c r="G212" i="2"/>
  <c r="G209" i="2"/>
  <c r="G189" i="2"/>
  <c r="G149" i="2"/>
  <c r="G62" i="2"/>
  <c r="J4" i="1"/>
  <c r="K4" i="1" s="1"/>
  <c r="G207" i="2"/>
  <c r="G204" i="2"/>
  <c r="G202" i="2"/>
  <c r="G200" i="2"/>
  <c r="G198" i="2"/>
  <c r="G195" i="2"/>
  <c r="G150" i="2"/>
  <c r="G100" i="2"/>
  <c r="G49" i="2"/>
  <c r="G47" i="2"/>
  <c r="G25" i="2"/>
  <c r="G9" i="2"/>
  <c r="G221" i="2"/>
  <c r="G219" i="2"/>
  <c r="G10" i="14"/>
  <c r="G27" i="2"/>
  <c r="G14" i="14"/>
  <c r="E15" i="14"/>
  <c r="G218" i="2"/>
  <c r="G14" i="3"/>
  <c r="I14" i="3"/>
  <c r="I13" i="3"/>
  <c r="G13" i="3"/>
  <c r="K146" i="2"/>
  <c r="F72" i="2"/>
  <c r="G143" i="2"/>
  <c r="K7" i="14" l="1"/>
  <c r="K8" i="14"/>
  <c r="K11" i="14"/>
  <c r="K10" i="14"/>
  <c r="K4" i="14"/>
  <c r="K15" i="14" s="1"/>
  <c r="K16" i="14" s="1"/>
  <c r="K37" i="1"/>
  <c r="K9" i="4"/>
  <c r="K40" i="4"/>
  <c r="K29" i="4"/>
  <c r="K51" i="4"/>
  <c r="K74" i="4"/>
  <c r="N5" i="13"/>
  <c r="Q5" i="13" s="1"/>
  <c r="K71" i="2"/>
  <c r="K171" i="2"/>
  <c r="D6" i="7"/>
  <c r="I33" i="7" s="1"/>
  <c r="K176" i="2"/>
  <c r="K183" i="2"/>
  <c r="F39" i="7"/>
  <c r="J68" i="2"/>
  <c r="K68" i="2" s="1"/>
  <c r="F42" i="7"/>
  <c r="F43" i="7"/>
  <c r="M5" i="13"/>
  <c r="E31" i="13"/>
  <c r="E47" i="13" s="1"/>
  <c r="M33" i="13"/>
  <c r="M31" i="13" s="1"/>
  <c r="M13" i="13"/>
  <c r="N33" i="13"/>
  <c r="N31" i="13" s="1"/>
  <c r="N13" i="13"/>
  <c r="L11" i="3"/>
  <c r="N11" i="3" s="1"/>
  <c r="O11" i="3" s="1"/>
  <c r="Q54" i="13"/>
  <c r="K63" i="4"/>
  <c r="K81" i="4"/>
  <c r="K28" i="4"/>
  <c r="O15" i="3"/>
  <c r="O16" i="3"/>
  <c r="O5" i="3"/>
  <c r="G17" i="3"/>
  <c r="I17" i="3"/>
  <c r="H7" i="7" s="1"/>
  <c r="O3" i="3"/>
  <c r="K28" i="2"/>
  <c r="K48" i="2"/>
  <c r="J134" i="2"/>
  <c r="K134" i="2" s="1"/>
  <c r="K184" i="2"/>
  <c r="K22" i="2"/>
  <c r="K177" i="2"/>
  <c r="K94" i="2"/>
  <c r="K156" i="2"/>
  <c r="K155" i="2"/>
  <c r="K89" i="2"/>
  <c r="N8" i="3"/>
  <c r="O8" i="3" s="1"/>
  <c r="K163" i="2"/>
  <c r="O47" i="13"/>
  <c r="O13" i="3"/>
  <c r="O7" i="3"/>
  <c r="K91" i="4"/>
  <c r="K25" i="4"/>
  <c r="K27" i="4"/>
  <c r="E98" i="4"/>
  <c r="K71" i="4"/>
  <c r="J86" i="4"/>
  <c r="K66" i="4"/>
  <c r="K48" i="4"/>
  <c r="K93" i="4"/>
  <c r="K49" i="4"/>
  <c r="J84" i="4"/>
  <c r="K84" i="4" s="1"/>
  <c r="K39" i="4"/>
  <c r="J216" i="2"/>
  <c r="K216" i="2" s="1"/>
  <c r="K153" i="2"/>
  <c r="K40" i="2"/>
  <c r="K102" i="2"/>
  <c r="K154" i="2"/>
  <c r="K179" i="2"/>
  <c r="K165" i="2"/>
  <c r="G223" i="2"/>
  <c r="H6" i="7" s="1"/>
  <c r="K208" i="2"/>
  <c r="K180" i="2"/>
  <c r="K95" i="2"/>
  <c r="K182" i="2"/>
  <c r="H205" i="2"/>
  <c r="J205" i="2" s="1"/>
  <c r="K205" i="2" s="1"/>
  <c r="J14" i="3"/>
  <c r="L14" i="3" s="1"/>
  <c r="H13" i="14"/>
  <c r="J13" i="14" s="1"/>
  <c r="K13" i="14" s="1"/>
  <c r="I114" i="2"/>
  <c r="L7" i="3"/>
  <c r="N10" i="3"/>
  <c r="I175" i="2"/>
  <c r="J175" i="2" s="1"/>
  <c r="K175" i="2" s="1"/>
  <c r="K167" i="2"/>
  <c r="N12" i="3"/>
  <c r="K212" i="2"/>
  <c r="K65" i="4"/>
  <c r="K26" i="4"/>
  <c r="K34" i="4"/>
  <c r="K30" i="4"/>
  <c r="K23" i="4"/>
  <c r="K47" i="4"/>
  <c r="K85" i="4"/>
  <c r="K31" i="4"/>
  <c r="K42" i="4"/>
  <c r="K24" i="4"/>
  <c r="K32" i="4"/>
  <c r="K7" i="4"/>
  <c r="K89" i="4"/>
  <c r="K54" i="4"/>
  <c r="K6" i="4"/>
  <c r="G98" i="4"/>
  <c r="H8" i="7" s="1"/>
  <c r="K76" i="4"/>
  <c r="K77" i="4"/>
  <c r="K37" i="4"/>
  <c r="K3" i="4"/>
  <c r="K44" i="4"/>
  <c r="K41" i="4"/>
  <c r="G67" i="13"/>
  <c r="H67" i="13"/>
  <c r="G47" i="13"/>
  <c r="F6" i="13"/>
  <c r="F47" i="13"/>
  <c r="H6" i="13"/>
  <c r="D47" i="13"/>
  <c r="I47" i="13"/>
  <c r="M55" i="13"/>
  <c r="I173" i="2"/>
  <c r="J173" i="2" s="1"/>
  <c r="K173" i="2" s="1"/>
  <c r="L47" i="13"/>
  <c r="M35" i="13"/>
  <c r="C6" i="13"/>
  <c r="H47" i="13"/>
  <c r="E6" i="13"/>
  <c r="I174" i="2"/>
  <c r="J174" i="2" s="1"/>
  <c r="K174" i="2" s="1"/>
  <c r="I67" i="13"/>
  <c r="K67" i="13"/>
  <c r="K11" i="13"/>
  <c r="K27" i="13" s="1"/>
  <c r="L6" i="13"/>
  <c r="K47" i="13"/>
  <c r="O6" i="13"/>
  <c r="K6" i="13"/>
  <c r="I181" i="2"/>
  <c r="J181" i="2" s="1"/>
  <c r="K181" i="2" s="1"/>
  <c r="I11" i="13"/>
  <c r="I27" i="13" s="1"/>
  <c r="I6" i="13"/>
  <c r="G6" i="13"/>
  <c r="E67" i="13"/>
  <c r="N15" i="13"/>
  <c r="J47" i="13"/>
  <c r="N55" i="13"/>
  <c r="D6" i="13"/>
  <c r="F67" i="13"/>
  <c r="L67" i="13"/>
  <c r="J67" i="13"/>
  <c r="N35" i="13"/>
  <c r="J6" i="13"/>
  <c r="O67" i="13"/>
  <c r="D11" i="13"/>
  <c r="D27" i="13" s="1"/>
  <c r="D51" i="13"/>
  <c r="D67" i="13" s="1"/>
  <c r="I172" i="2"/>
  <c r="J172" i="2" s="1"/>
  <c r="K172" i="2" s="1"/>
  <c r="O11" i="13"/>
  <c r="O4" i="13" s="1"/>
  <c r="L11" i="13"/>
  <c r="K93" i="2"/>
  <c r="K145" i="2"/>
  <c r="J27" i="2"/>
  <c r="K27" i="2" s="1"/>
  <c r="I72" i="2"/>
  <c r="G15" i="14"/>
  <c r="K111" i="2"/>
  <c r="K113" i="2"/>
  <c r="K98" i="2"/>
  <c r="K99" i="2"/>
  <c r="K100" i="2"/>
  <c r="K96" i="2"/>
  <c r="K90" i="2"/>
  <c r="K91" i="2"/>
  <c r="K92" i="2"/>
  <c r="K86" i="2"/>
  <c r="K87" i="2"/>
  <c r="K88" i="2"/>
  <c r="K66" i="2"/>
  <c r="K67" i="2"/>
  <c r="J62" i="2"/>
  <c r="K62" i="2" s="1"/>
  <c r="K59" i="2"/>
  <c r="K56" i="2"/>
  <c r="K58" i="2"/>
  <c r="K57" i="2"/>
  <c r="K52" i="2"/>
  <c r="K53" i="2"/>
  <c r="K54" i="2"/>
  <c r="K55" i="2"/>
  <c r="K45" i="2"/>
  <c r="K47" i="2"/>
  <c r="K39" i="2"/>
  <c r="K36" i="2"/>
  <c r="K37" i="2"/>
  <c r="K38" i="2"/>
  <c r="K5" i="2"/>
  <c r="K9" i="2"/>
  <c r="K10" i="2"/>
  <c r="K14" i="2"/>
  <c r="K15" i="2"/>
  <c r="K17" i="2"/>
  <c r="K18" i="2"/>
  <c r="K21" i="2"/>
  <c r="K24" i="2"/>
  <c r="K25" i="2"/>
  <c r="K26" i="2"/>
  <c r="K222" i="2"/>
  <c r="K218" i="2"/>
  <c r="K219" i="2"/>
  <c r="K209" i="2"/>
  <c r="K207" i="2"/>
  <c r="K201" i="2"/>
  <c r="K200" i="2"/>
  <c r="K186" i="2"/>
  <c r="K194" i="2"/>
  <c r="K195" i="2"/>
  <c r="K197" i="2"/>
  <c r="K198" i="2"/>
  <c r="K199" i="2"/>
  <c r="K202" i="2"/>
  <c r="K204" i="2"/>
  <c r="K203" i="2"/>
  <c r="K211" i="2"/>
  <c r="K214" i="2"/>
  <c r="K215" i="2"/>
  <c r="K101" i="2"/>
  <c r="K103" i="2"/>
  <c r="K124" i="2"/>
  <c r="K125" i="2"/>
  <c r="K133" i="2"/>
  <c r="K147" i="2"/>
  <c r="K150" i="2"/>
  <c r="K151" i="2"/>
  <c r="K149" i="2"/>
  <c r="K162" i="2"/>
  <c r="K161" i="2"/>
  <c r="K166" i="2"/>
  <c r="K168" i="2"/>
  <c r="K164" i="2"/>
  <c r="K190" i="2"/>
  <c r="K189" i="2"/>
  <c r="K84" i="2"/>
  <c r="K112" i="2"/>
  <c r="K221" i="2"/>
  <c r="K220" i="2"/>
  <c r="K213" i="2"/>
  <c r="K169" i="2"/>
  <c r="K83" i="2"/>
  <c r="K49" i="2"/>
  <c r="K3" i="2"/>
  <c r="K6" i="2"/>
  <c r="H42" i="7"/>
  <c r="K85" i="2"/>
  <c r="K4" i="2"/>
  <c r="K170" i="2"/>
  <c r="J37" i="1"/>
  <c r="E5" i="7" s="1"/>
  <c r="F40" i="7" l="1"/>
  <c r="F41" i="7"/>
  <c r="N14" i="3"/>
  <c r="O14" i="3" s="1"/>
  <c r="H9" i="7"/>
  <c r="I42" i="7"/>
  <c r="F5" i="7"/>
  <c r="N17" i="3"/>
  <c r="E7" i="7" s="1"/>
  <c r="I7" i="7" s="1"/>
  <c r="L17" i="3"/>
  <c r="K86" i="4"/>
  <c r="J15" i="14"/>
  <c r="H15" i="14"/>
  <c r="D16" i="7" s="1"/>
  <c r="O10" i="3"/>
  <c r="O12" i="3"/>
  <c r="N51" i="13"/>
  <c r="E108" i="13"/>
  <c r="G11" i="13"/>
  <c r="G27" i="13" s="1"/>
  <c r="G7" i="13" s="1"/>
  <c r="C26" i="8" s="1"/>
  <c r="J152" i="2" s="1"/>
  <c r="J11" i="13"/>
  <c r="J27" i="13" s="1"/>
  <c r="J7" i="13" s="1"/>
  <c r="C33" i="8" s="1"/>
  <c r="M47" i="13"/>
  <c r="E11" i="13"/>
  <c r="E27" i="13" s="1"/>
  <c r="E7" i="13" s="1"/>
  <c r="C25" i="8" s="1"/>
  <c r="M6" i="13"/>
  <c r="F11" i="13"/>
  <c r="F27" i="13" s="1"/>
  <c r="F7" i="13" s="1"/>
  <c r="C31" i="8" s="1"/>
  <c r="N11" i="13"/>
  <c r="N27" i="13" s="1"/>
  <c r="I4" i="13"/>
  <c r="I7" i="13"/>
  <c r="C27" i="8" s="1"/>
  <c r="K7" i="13"/>
  <c r="C28" i="8" s="1"/>
  <c r="L27" i="13"/>
  <c r="L7" i="13" s="1"/>
  <c r="C34" i="8" s="1"/>
  <c r="L4" i="13"/>
  <c r="O27" i="13"/>
  <c r="O7" i="13" s="1"/>
  <c r="H11" i="13"/>
  <c r="N47" i="13"/>
  <c r="Q47" i="13" s="1"/>
  <c r="K4" i="13"/>
  <c r="I178" i="2"/>
  <c r="J178" i="2" s="1"/>
  <c r="H39" i="7" s="1"/>
  <c r="C30" i="8"/>
  <c r="J30" i="2" s="1"/>
  <c r="D4" i="13"/>
  <c r="M11" i="13"/>
  <c r="M27" i="13" s="1"/>
  <c r="M51" i="13"/>
  <c r="N6" i="13"/>
  <c r="I5" i="7"/>
  <c r="J5" i="7" s="1"/>
  <c r="H43" i="7" l="1"/>
  <c r="I43" i="7" s="1"/>
  <c r="E16" i="7"/>
  <c r="F16" i="7" s="1"/>
  <c r="O17" i="3"/>
  <c r="O18" i="3" s="1"/>
  <c r="N4" i="13"/>
  <c r="G108" i="13"/>
  <c r="E87" i="13"/>
  <c r="G87" i="13" s="1"/>
  <c r="I39" i="7"/>
  <c r="D7" i="7"/>
  <c r="I34" i="7"/>
  <c r="N7" i="13"/>
  <c r="C27" i="13"/>
  <c r="C7" i="13" s="1"/>
  <c r="F7" i="7"/>
  <c r="J51" i="2"/>
  <c r="I51" i="2" s="1"/>
  <c r="G4" i="13"/>
  <c r="E4" i="13"/>
  <c r="F4" i="13"/>
  <c r="J4" i="13"/>
  <c r="H27" i="13"/>
  <c r="H7" i="13" s="1"/>
  <c r="H4" i="13"/>
  <c r="K178" i="2"/>
  <c r="I152" i="2"/>
  <c r="K152" i="2"/>
  <c r="M67" i="13"/>
  <c r="M4" i="13"/>
  <c r="Q7" i="13" l="1"/>
  <c r="C43" i="8" s="1"/>
  <c r="C44" i="8" s="1"/>
  <c r="C42" i="8"/>
  <c r="J20" i="2" s="1"/>
  <c r="J7" i="7"/>
  <c r="K7" i="7" s="1"/>
  <c r="C47" i="8"/>
  <c r="Q67" i="13"/>
  <c r="C24" i="8"/>
  <c r="K51" i="2"/>
  <c r="Q27" i="13"/>
  <c r="C32" i="8"/>
  <c r="I30" i="2"/>
  <c r="K30" i="2"/>
  <c r="K5" i="7"/>
  <c r="C23" i="8" l="1"/>
  <c r="J122" i="2" s="1"/>
  <c r="J7" i="2"/>
  <c r="K7" i="2" s="1"/>
  <c r="C29" i="8"/>
  <c r="K16" i="2"/>
  <c r="H8" i="4"/>
  <c r="J8" i="4" s="1"/>
  <c r="K8" i="4" s="1"/>
  <c r="H5" i="4"/>
  <c r="J5" i="4" s="1"/>
  <c r="K5" i="4" s="1"/>
  <c r="J8" i="2"/>
  <c r="K8" i="2" s="1"/>
  <c r="H17" i="4"/>
  <c r="J17" i="4" s="1"/>
  <c r="K17" i="4" s="1"/>
  <c r="J35" i="2"/>
  <c r="K35" i="2" s="1"/>
  <c r="H20" i="4"/>
  <c r="J20" i="4" s="1"/>
  <c r="K20" i="4" s="1"/>
  <c r="J33" i="2"/>
  <c r="I33" i="2" s="1"/>
  <c r="H22" i="4"/>
  <c r="J22" i="4" s="1"/>
  <c r="K22" i="4" s="1"/>
  <c r="J29" i="2"/>
  <c r="I29" i="2" s="1"/>
  <c r="J43" i="2"/>
  <c r="K43" i="2" s="1"/>
  <c r="I24" i="7"/>
  <c r="I23" i="7" s="1"/>
  <c r="I30" i="7" s="1"/>
  <c r="H19" i="4"/>
  <c r="J19" i="4" s="1"/>
  <c r="K19" i="4" s="1"/>
  <c r="J46" i="2"/>
  <c r="K46" i="2" s="1"/>
  <c r="H16" i="4"/>
  <c r="J16" i="4" s="1"/>
  <c r="K16" i="4" s="1"/>
  <c r="H13" i="4"/>
  <c r="J13" i="4" s="1"/>
  <c r="K13" i="4" s="1"/>
  <c r="H4" i="4"/>
  <c r="J4" i="4" s="1"/>
  <c r="I16" i="2" l="1"/>
  <c r="I35" i="2"/>
  <c r="J65" i="2"/>
  <c r="K65" i="2" s="1"/>
  <c r="K4" i="4"/>
  <c r="I8" i="2"/>
  <c r="J64" i="2"/>
  <c r="K64" i="2" s="1"/>
  <c r="J82" i="2"/>
  <c r="K82" i="2" s="1"/>
  <c r="I46" i="2"/>
  <c r="J128" i="2"/>
  <c r="K128" i="2" s="1"/>
  <c r="K33" i="2"/>
  <c r="I7" i="2"/>
  <c r="K29" i="2"/>
  <c r="I43" i="2"/>
  <c r="K122" i="2"/>
  <c r="I122" i="2"/>
  <c r="J10" i="4"/>
  <c r="J12" i="4"/>
  <c r="J11" i="4"/>
  <c r="K11" i="4" s="1"/>
  <c r="I65" i="2" l="1"/>
  <c r="I64" i="2"/>
  <c r="I82" i="2"/>
  <c r="I128" i="2"/>
  <c r="K12" i="4"/>
  <c r="K10" i="4"/>
  <c r="J129" i="2" l="1"/>
  <c r="K129" i="2" s="1"/>
  <c r="H58" i="4"/>
  <c r="J58" i="4" s="1"/>
  <c r="K58" i="4" s="1"/>
  <c r="J109" i="2"/>
  <c r="K109" i="2" s="1"/>
  <c r="H68" i="4"/>
  <c r="J68" i="4" s="1"/>
  <c r="K68" i="4" s="1"/>
  <c r="J127" i="2"/>
  <c r="K127" i="2" s="1"/>
  <c r="H75" i="4"/>
  <c r="J75" i="4" s="1"/>
  <c r="K75" i="4" s="1"/>
  <c r="J131" i="2"/>
  <c r="K131" i="2" s="1"/>
  <c r="H82" i="4"/>
  <c r="J82" i="4" s="1"/>
  <c r="K82" i="4" s="1"/>
  <c r="J126" i="2"/>
  <c r="I126" i="2" s="1"/>
  <c r="H57" i="4"/>
  <c r="J57" i="4" s="1"/>
  <c r="K57" i="4" s="1"/>
  <c r="I109" i="2" l="1"/>
  <c r="I127" i="2"/>
  <c r="K98" i="4"/>
  <c r="K99" i="4" s="1"/>
  <c r="I131" i="2"/>
  <c r="I20" i="2"/>
  <c r="K20" i="2"/>
  <c r="J98" i="4"/>
  <c r="E8" i="7" s="1"/>
  <c r="F8" i="7" s="1"/>
  <c r="K126" i="2"/>
  <c r="I129" i="2"/>
  <c r="H98" i="4"/>
  <c r="K143" i="2"/>
  <c r="J223" i="2"/>
  <c r="K223" i="2" s="1"/>
  <c r="K224" i="2" s="1"/>
  <c r="H40" i="7" l="1"/>
  <c r="I40" i="7" s="1"/>
  <c r="H41" i="7"/>
  <c r="I41" i="7" s="1"/>
  <c r="I8" i="7"/>
  <c r="J8" i="7" s="1"/>
  <c r="K8" i="7" s="1"/>
  <c r="D8" i="7"/>
  <c r="D9" i="7" s="1"/>
  <c r="I35" i="7"/>
  <c r="I36" i="7" s="1"/>
  <c r="E6" i="7"/>
  <c r="E11" i="7" s="1"/>
  <c r="E12" i="7" s="1"/>
  <c r="E9" i="7" l="1"/>
  <c r="I6" i="7"/>
  <c r="F6" i="7"/>
  <c r="F9" i="7" s="1"/>
  <c r="J6" i="7" l="1"/>
  <c r="I9" i="7"/>
  <c r="J9" i="7" l="1"/>
  <c r="K9" i="7" s="1"/>
  <c r="K6" i="7"/>
</calcChain>
</file>

<file path=xl/sharedStrings.xml><?xml version="1.0" encoding="utf-8"?>
<sst xmlns="http://schemas.openxmlformats.org/spreadsheetml/2006/main" count="2277" uniqueCount="1224">
  <si>
    <r>
      <t>Part 26 - OMB Clearance (</t>
    </r>
    <r>
      <rPr>
        <b/>
        <sz val="12"/>
        <color rgb="FFFF0000"/>
        <rFont val="Arial"/>
        <family val="2"/>
      </rPr>
      <t>2024 - 2027</t>
    </r>
    <r>
      <rPr>
        <b/>
        <sz val="12"/>
        <color theme="1"/>
        <rFont val="Arial"/>
        <family val="2"/>
      </rPr>
      <t>)</t>
    </r>
  </si>
  <si>
    <r>
      <t>FFD Program
(</t>
    </r>
    <r>
      <rPr>
        <b/>
        <sz val="11"/>
        <color rgb="FFFF0000"/>
        <rFont val="Arial"/>
        <family val="2"/>
      </rPr>
      <t>D&amp;A and Fatigue</t>
    </r>
    <r>
      <rPr>
        <b/>
        <sz val="11"/>
        <rFont val="Arial"/>
        <family val="2"/>
      </rPr>
      <t>)</t>
    </r>
  </si>
  <si>
    <t>Facility 
(Operating Reactors)</t>
  </si>
  <si>
    <r>
      <t>FFD Program (</t>
    </r>
    <r>
      <rPr>
        <b/>
        <sz val="11"/>
        <color rgb="FFFF0000"/>
        <rFont val="Arial"/>
        <family val="2"/>
      </rPr>
      <t>D&amp;A only</t>
    </r>
    <r>
      <rPr>
        <b/>
        <sz val="11"/>
        <rFont val="Arial"/>
        <family val="2"/>
      </rPr>
      <t>)</t>
    </r>
  </si>
  <si>
    <t>Facility</t>
  </si>
  <si>
    <t>Ameren UE</t>
  </si>
  <si>
    <t xml:space="preserve">Callaway </t>
  </si>
  <si>
    <t>Babcock &amp; Wilcox, NOG, Lynchburg</t>
  </si>
  <si>
    <t>Fuel Cycle</t>
  </si>
  <si>
    <t>Arizona Public Service Company</t>
  </si>
  <si>
    <t>Palo Verde</t>
  </si>
  <si>
    <t>Nuclear Fuel Services, Irwin</t>
  </si>
  <si>
    <t>Dominion Generation</t>
  </si>
  <si>
    <t>Millstone</t>
  </si>
  <si>
    <t>INPO</t>
  </si>
  <si>
    <t>C/V</t>
  </si>
  <si>
    <t>North Anna</t>
  </si>
  <si>
    <t>Surry</t>
  </si>
  <si>
    <t>V.C. Summer 1</t>
  </si>
  <si>
    <t>DTE Electric Company</t>
  </si>
  <si>
    <t>Fermi 2</t>
  </si>
  <si>
    <t>Duke Energy</t>
  </si>
  <si>
    <t>Brunswick</t>
  </si>
  <si>
    <t>Catawba</t>
  </si>
  <si>
    <t>H.B. Robinson</t>
  </si>
  <si>
    <t>McGuire</t>
  </si>
  <si>
    <t>Oconee</t>
  </si>
  <si>
    <t>Shearon Harris</t>
  </si>
  <si>
    <t>Energy Harbor</t>
  </si>
  <si>
    <t>Beaver Valley</t>
  </si>
  <si>
    <t>Davis-Besse</t>
  </si>
  <si>
    <t>Perry</t>
  </si>
  <si>
    <t>Energy Northwest</t>
  </si>
  <si>
    <t>Columbia</t>
  </si>
  <si>
    <t>Entergy Nuclear Operations, Inc.</t>
  </si>
  <si>
    <t>Arkansas Nuclear One</t>
  </si>
  <si>
    <t>Grand Gulf</t>
  </si>
  <si>
    <t>River Bend</t>
  </si>
  <si>
    <t>Waterford</t>
  </si>
  <si>
    <t>Braidwood</t>
  </si>
  <si>
    <t>Byron</t>
  </si>
  <si>
    <t>Calvert Cliffs</t>
  </si>
  <si>
    <t>Clinton</t>
  </si>
  <si>
    <t>Dresden</t>
  </si>
  <si>
    <t>James A. FitzPatrick</t>
  </si>
  <si>
    <t>LaSalle</t>
  </si>
  <si>
    <t>Limerick</t>
  </si>
  <si>
    <t>Nine Mile Point</t>
  </si>
  <si>
    <t>Peach Bottom</t>
  </si>
  <si>
    <t>Quad Cities</t>
  </si>
  <si>
    <t>R.E. Ginna</t>
  </si>
  <si>
    <t>Indiana Michigan Power Co.</t>
  </si>
  <si>
    <t>D.C. Cook</t>
  </si>
  <si>
    <t>Luminant Generation Co.</t>
  </si>
  <si>
    <t>Comanche Peak</t>
  </si>
  <si>
    <t>Nebraska Public Power District</t>
  </si>
  <si>
    <t>Cooper</t>
  </si>
  <si>
    <t>Nextera Energy</t>
  </si>
  <si>
    <t>Point Beach</t>
  </si>
  <si>
    <t>Seabrook</t>
  </si>
  <si>
    <t>St. Lucie</t>
  </si>
  <si>
    <t>Turkey Point Units 3 &amp; 4</t>
  </si>
  <si>
    <t>Pacific Gas &amp; Electric Co.</t>
  </si>
  <si>
    <t>Diablo Canyon</t>
  </si>
  <si>
    <t>PSEG Nuclear, Inc.</t>
  </si>
  <si>
    <t>Salem/Hope Creek</t>
  </si>
  <si>
    <t>Southern Nuclear Operating Co.</t>
  </si>
  <si>
    <t>E.I. Hatch</t>
  </si>
  <si>
    <t>Joseph M. Farley</t>
  </si>
  <si>
    <t>Vogtle Units 1, 2, 3, 4</t>
  </si>
  <si>
    <t>STP Nuclear Operating Co.</t>
  </si>
  <si>
    <t>South Texas Project</t>
  </si>
  <si>
    <t>Talen Energy Corporation</t>
  </si>
  <si>
    <t>Susquehanna</t>
  </si>
  <si>
    <t>Tennessee Valley Authority</t>
  </si>
  <si>
    <t>Browns Ferry</t>
  </si>
  <si>
    <t>Sequoyah</t>
  </si>
  <si>
    <t>Watts Bar</t>
  </si>
  <si>
    <t>Wolf Creek Nuclear Operating Corp.</t>
  </si>
  <si>
    <t>Wolf Creek</t>
  </si>
  <si>
    <t>Xcel Energy</t>
  </si>
  <si>
    <t>Monticello</t>
  </si>
  <si>
    <t>Prairie Island</t>
  </si>
  <si>
    <t>Difference from last clearance period 2021-2024</t>
  </si>
  <si>
    <t>New sites entered decommissioning</t>
  </si>
  <si>
    <t>Operating Reactor Information (Part 26 - OMB Clearance October 2024 - September 2027)</t>
  </si>
  <si>
    <r>
      <rPr>
        <u/>
        <sz val="11"/>
        <rFont val="Arial"/>
        <family val="2"/>
      </rPr>
      <t>Data source</t>
    </r>
    <r>
      <rPr>
        <sz val="11"/>
        <rFont val="Arial"/>
        <family val="2"/>
      </rPr>
      <t>: NRC Digest 2022-2023, NUREG 1350, vol.34 (ML23047A371); &amp; supplemented with LRA info</t>
    </r>
  </si>
  <si>
    <t>OMB Clearance Period</t>
  </si>
  <si>
    <t>Start:</t>
  </si>
  <si>
    <t>LRA submitted/intent to submit</t>
  </si>
  <si>
    <r>
      <rPr>
        <u/>
        <sz val="11"/>
        <rFont val="Arial"/>
        <family val="2"/>
      </rPr>
      <t>Last updated</t>
    </r>
    <r>
      <rPr>
        <sz val="11"/>
        <rFont val="Arial"/>
        <family val="2"/>
      </rPr>
      <t>: December 14, 2023, Brian Zaleski (NRC)</t>
    </r>
  </si>
  <si>
    <t>End:</t>
  </si>
  <si>
    <r>
      <t xml:space="preserve">
Reactor Facilty
</t>
    </r>
    <r>
      <rPr>
        <sz val="9"/>
        <color rgb="FFFF0000"/>
        <rFont val="Arial"/>
        <family val="2"/>
      </rPr>
      <t>(Use to count # facilities)</t>
    </r>
  </si>
  <si>
    <t>Facility 
Type</t>
  </si>
  <si>
    <t>Reactor 
Name</t>
  </si>
  <si>
    <t>Parent 
Company</t>
  </si>
  <si>
    <t>Construction Permit
Issued</t>
  </si>
  <si>
    <t xml:space="preserve">Initial 
Operating License </t>
  </si>
  <si>
    <t>Renewal 1
Operating License</t>
  </si>
  <si>
    <t>Renewal 2
Operating License</t>
  </si>
  <si>
    <t>Shutdown
Date</t>
  </si>
  <si>
    <r>
      <t xml:space="preserve">Cease 
FFD Program
</t>
    </r>
    <r>
      <rPr>
        <sz val="9"/>
        <color rgb="FFFF0000"/>
        <rFont val="Arial"/>
        <family val="2"/>
      </rPr>
      <t>[formula]</t>
    </r>
  </si>
  <si>
    <t>Applicable 
Days</t>
  </si>
  <si>
    <t>Issued</t>
  </si>
  <si>
    <t>Expiration</t>
  </si>
  <si>
    <t xml:space="preserve">Expiration </t>
  </si>
  <si>
    <t>Arkansas Nuclear</t>
  </si>
  <si>
    <t>Reactor</t>
  </si>
  <si>
    <t>Arkansas Nuclear 1</t>
  </si>
  <si>
    <t>Entergy Corporation, Inc.</t>
  </si>
  <si>
    <t>Arkansas Nuclear 2</t>
  </si>
  <si>
    <t>Update with information in Decomm Rule Worksheet</t>
  </si>
  <si>
    <t>Beaver Valley 1</t>
  </si>
  <si>
    <t>Energy Harbor Corp.</t>
  </si>
  <si>
    <t>Beaver Valley 2</t>
  </si>
  <si>
    <t>Braidwood 1</t>
  </si>
  <si>
    <t>Constellation Energy Generation Co., LLC</t>
  </si>
  <si>
    <t>Braidwood 2</t>
  </si>
  <si>
    <t>Browns Ferry 1</t>
  </si>
  <si>
    <t>Tenessee Valley Authority</t>
  </si>
  <si>
    <t>Browns Ferry 2</t>
  </si>
  <si>
    <t>Browns Ferry 3</t>
  </si>
  <si>
    <t>Brunswick 1</t>
  </si>
  <si>
    <t>Brunswick 2</t>
  </si>
  <si>
    <t>Byron 1</t>
  </si>
  <si>
    <t>Byron 2</t>
  </si>
  <si>
    <t>Callaway</t>
  </si>
  <si>
    <t>Callaway 1</t>
  </si>
  <si>
    <t>Calvert Cliffs 1</t>
  </si>
  <si>
    <t>Calvert Cliffs 2</t>
  </si>
  <si>
    <t>Catawba 1</t>
  </si>
  <si>
    <t>Catawba 2</t>
  </si>
  <si>
    <t>Clinton 1</t>
  </si>
  <si>
    <t xml:space="preserve">Columbia </t>
  </si>
  <si>
    <t>Comanche Peak 1</t>
  </si>
  <si>
    <t>Vista Energy</t>
  </si>
  <si>
    <t>Comanche Peak 2</t>
  </si>
  <si>
    <t>Cooper 1</t>
  </si>
  <si>
    <t>D.C.Cook</t>
  </si>
  <si>
    <t>D.C. Cook 1</t>
  </si>
  <si>
    <t>D.C. Cook 2</t>
  </si>
  <si>
    <t>Diablo Canyon 1</t>
  </si>
  <si>
    <t>Diablo Canyon 2</t>
  </si>
  <si>
    <t>Dresden 2</t>
  </si>
  <si>
    <t>Dresden 3</t>
  </si>
  <si>
    <t>Edwin I. Hatch</t>
  </si>
  <si>
    <t>Edwin I. Hatch 1</t>
  </si>
  <si>
    <t>Edwin I. Hatch 2</t>
  </si>
  <si>
    <t>Fermi</t>
  </si>
  <si>
    <t>Grand Gulf 1</t>
  </si>
  <si>
    <t>H.B. Robinson 2</t>
  </si>
  <si>
    <t>Hope Creek</t>
  </si>
  <si>
    <t>Hope Creek 1</t>
  </si>
  <si>
    <t>PSEG Nuclear, LLC</t>
  </si>
  <si>
    <t>Joseph M. Farley 1</t>
  </si>
  <si>
    <r>
      <t>Southern Nuclear Operating Co</t>
    </r>
    <r>
      <rPr>
        <sz val="10"/>
        <color rgb="FFFF0000"/>
        <rFont val="Arial"/>
        <family val="2"/>
      </rPr>
      <t>.</t>
    </r>
  </si>
  <si>
    <t>Joseph M. Farley 2</t>
  </si>
  <si>
    <t>LaSalle County 1</t>
  </si>
  <si>
    <t>LaSalle County 2</t>
  </si>
  <si>
    <t>Limerick 1</t>
  </si>
  <si>
    <t>Limerick 2</t>
  </si>
  <si>
    <t>McGuire 1</t>
  </si>
  <si>
    <t>McGuire 2</t>
  </si>
  <si>
    <t>Millstone 2</t>
  </si>
  <si>
    <t>Millstone 3</t>
  </si>
  <si>
    <t>Nine Mile Point 1</t>
  </si>
  <si>
    <t>Nine Mile Point 2</t>
  </si>
  <si>
    <t>North Anna 1</t>
  </si>
  <si>
    <t>North Anna 2</t>
  </si>
  <si>
    <t>Oconee 1</t>
  </si>
  <si>
    <t>Oconee 2</t>
  </si>
  <si>
    <t>Oconee 3</t>
  </si>
  <si>
    <t>Palo Verde 1</t>
  </si>
  <si>
    <t>Arizona Public Service Co.</t>
  </si>
  <si>
    <t>Palo Verde 2</t>
  </si>
  <si>
    <t>Palo Verde 3</t>
  </si>
  <si>
    <t xml:space="preserve">Peach Bottom </t>
  </si>
  <si>
    <t>Peach Bottom 2</t>
  </si>
  <si>
    <t>Peach Bottom 3</t>
  </si>
  <si>
    <t>Perry 1</t>
  </si>
  <si>
    <t>Point Beach 1</t>
  </si>
  <si>
    <t>NextEra Energy Inc.</t>
  </si>
  <si>
    <t>Point Beach 2</t>
  </si>
  <si>
    <t>Prairie Island 1</t>
  </si>
  <si>
    <t>Praire Island</t>
  </si>
  <si>
    <t>Prairie Island 2</t>
  </si>
  <si>
    <t>Quad Cities 1</t>
  </si>
  <si>
    <t>Quad Cities 2</t>
  </si>
  <si>
    <t>River Bend 1</t>
  </si>
  <si>
    <t>Salem</t>
  </si>
  <si>
    <t>Salem 1</t>
  </si>
  <si>
    <t>Salem 2</t>
  </si>
  <si>
    <t>Seabrook 1</t>
  </si>
  <si>
    <t>Sequoyah 1</t>
  </si>
  <si>
    <t>Sequoyah 2</t>
  </si>
  <si>
    <t>Shearon Harris 1</t>
  </si>
  <si>
    <t>South Texas Project 1</t>
  </si>
  <si>
    <t>South Texas Project 2</t>
  </si>
  <si>
    <t>St. Lucie 1</t>
  </si>
  <si>
    <t>St. Lucie 2</t>
  </si>
  <si>
    <t>Surry 1</t>
  </si>
  <si>
    <t>Surry 2</t>
  </si>
  <si>
    <t>Susquehanna 1</t>
  </si>
  <si>
    <t>Talen Energy Corp.</t>
  </si>
  <si>
    <t>Susquehanna 2</t>
  </si>
  <si>
    <t>Turkey Point</t>
  </si>
  <si>
    <t>Turkey Point 3</t>
  </si>
  <si>
    <t>Turkey Point 4</t>
  </si>
  <si>
    <t>V.C. Summer</t>
  </si>
  <si>
    <t>VC Summer 1</t>
  </si>
  <si>
    <t>Vogtle</t>
  </si>
  <si>
    <t>Vogtle 1</t>
  </si>
  <si>
    <t>Vogtle 2</t>
  </si>
  <si>
    <t>Vogtle 3</t>
  </si>
  <si>
    <t>Vogtle 4</t>
  </si>
  <si>
    <t>Waterford 3</t>
  </si>
  <si>
    <t>Watts</t>
  </si>
  <si>
    <t>Watts Bar 1</t>
  </si>
  <si>
    <t>Watts Bar 2</t>
  </si>
  <si>
    <t>Wolf Creek 1</t>
  </si>
  <si>
    <r>
      <t xml:space="preserve">Sites Decommissioning </t>
    </r>
    <r>
      <rPr>
        <b/>
        <u/>
        <sz val="11"/>
        <color theme="1"/>
        <rFont val="Arial"/>
        <family val="2"/>
      </rPr>
      <t>OR</t>
    </r>
    <r>
      <rPr>
        <b/>
        <sz val="11"/>
        <color theme="1"/>
        <rFont val="Arial"/>
        <family val="2"/>
      </rPr>
      <t xml:space="preserve"> will be Decommissioning before start of clearance period = Not subject to Part 26</t>
    </r>
  </si>
  <si>
    <t>Crystal River</t>
  </si>
  <si>
    <t>Crystal River 3</t>
  </si>
  <si>
    <t>Accelerated Decommissioning Partners</t>
  </si>
  <si>
    <t>Kewaunee</t>
  </si>
  <si>
    <t>EnergySolutions</t>
  </si>
  <si>
    <t>San Onofre</t>
  </si>
  <si>
    <t>San Onofre 2</t>
  </si>
  <si>
    <t>Southern California Edison Co.</t>
  </si>
  <si>
    <t>San Onofre 3</t>
  </si>
  <si>
    <t>Vermont Yankee</t>
  </si>
  <si>
    <t>NorthStar</t>
  </si>
  <si>
    <t>Fort Calhoun</t>
  </si>
  <si>
    <t>Omaha Public Power District</t>
  </si>
  <si>
    <t>Oyster Creek</t>
  </si>
  <si>
    <t>Holtec International</t>
  </si>
  <si>
    <t>Pilgrim</t>
  </si>
  <si>
    <t>Pilgrim 1</t>
  </si>
  <si>
    <t>Three Mile Island</t>
  </si>
  <si>
    <t>Three Mile Island 1</t>
  </si>
  <si>
    <t>Exelon Corporation, LLC</t>
  </si>
  <si>
    <t>Indian Point</t>
  </si>
  <si>
    <t>Indian Point 2</t>
  </si>
  <si>
    <t>Indian Point 3</t>
  </si>
  <si>
    <t>Duane Arnold</t>
  </si>
  <si>
    <t>Palisades</t>
  </si>
  <si>
    <t>Notes on reactors (Decommissioning/New Reactors/Acquisitions)</t>
  </si>
  <si>
    <t>LRA</t>
  </si>
  <si>
    <t>By letter dated July 29, 2019 (ML19210C877), Constellation submitted a letter of intent to submit a license renewal application (LRA) for Clinton Power Station (Clinton), Unit 1.</t>
  </si>
  <si>
    <t>The NRC received a license renewal application (LRA) from Vistra, dated October 3, 2022 (ML22276A082) to renew the operating licenses for CPNPP at 3,612 megawatt thermal each. A notice of receipt of the LRA was published in the Federal Register on October 31, 2022 (87 FR 65617). The NRC published in the Federal Register on December 1, 2023 (87 FR 73798) that the NRC staff determined that Vistra has submitted sufficient information to enable the staff to undertake a review of the application, and that the application is, therefore, acceptable for docketing.</t>
  </si>
  <si>
    <r>
      <rPr>
        <b/>
        <sz val="10"/>
        <rFont val="Arial"/>
        <family val="2"/>
      </rPr>
      <t>Decommissioning</t>
    </r>
    <r>
      <rPr>
        <sz val="10"/>
        <rFont val="Arial"/>
        <family val="2"/>
      </rPr>
      <t>.  By letter to the NRC on 01/18/2018, Nextera Duane Arnold announced it will permanently cease operations in the 4th quarter of 2020.  By letter datated August 27, 2020, Duane Arnold was shut down on August 10, 2020 in response to a derecho storm and will remain shut down and begin the decommissioning process. Duane Arnold permanently ceased power operations on August 10, 2020 (ML20240A067 - letter from NextEra dated 08/27/20).</t>
    </r>
  </si>
  <si>
    <r>
      <rPr>
        <b/>
        <sz val="10"/>
        <rFont val="Arial"/>
        <family val="2"/>
      </rPr>
      <t xml:space="preserve">Decommissioning.  </t>
    </r>
    <r>
      <rPr>
        <sz val="10"/>
        <rFont val="Arial"/>
        <family val="2"/>
      </rPr>
      <t>In a February 8, 2017 letter (ML17044A004), the licensee submitted a Notification of Permanent Cessation of Power Operations for Indian Point 2 and 3. In this letter, Entergy provided notification to the NRC of its intent to permanently cease power operations at Indian Point 2 and 3 no later than April 30, 2020, and April 30, 2021, respectively. Unit 1 (shutdown on 10/31/1974); Unit 2 (shutdown on 04/30/2020); and Unit 3 (shutdown on 04/30/2021). Permanently ceased operations on 04/30/2021 (ML21131A157). Ownership transfer and acquisition completed on 05/28/2021 to Holtec International (Holtec press release HH#36.09)</t>
    </r>
  </si>
  <si>
    <r>
      <rPr>
        <b/>
        <sz val="10"/>
        <rFont val="Arial"/>
        <family val="2"/>
      </rPr>
      <t xml:space="preserve">Decommissioning.  </t>
    </r>
    <r>
      <rPr>
        <sz val="10"/>
        <rFont val="Arial"/>
        <family val="2"/>
      </rPr>
      <t>In a September 25, 2018 letter (ML18268A258), Exelon certified to the NRC that it had permanently ceased operations on September 17, 2018 and as of September 25, 2018 all fuel had been permanently removed from the reactor vessel arid placed in the spent fuel pool.  In a July 1, 2019 Holtec Press Release (HH#34.10), Holtec announced completing the ownership transfer and acquisition of Oyster Creek Generating Station from Exelon Generation.</t>
    </r>
  </si>
  <si>
    <t>L</t>
  </si>
  <si>
    <r>
      <rPr>
        <b/>
        <sz val="10"/>
        <rFont val="Arial"/>
        <family val="2"/>
      </rPr>
      <t>Decommissioning</t>
    </r>
    <r>
      <rPr>
        <sz val="10"/>
        <rFont val="Arial"/>
        <family val="2"/>
      </rPr>
      <t>. In a September 28, 2017 letter (ML17271A233), Entergy notfied NRC of its intent to "</t>
    </r>
    <r>
      <rPr>
        <u/>
        <sz val="10"/>
        <color rgb="FFFF0000"/>
        <rFont val="Arial"/>
        <family val="2"/>
      </rPr>
      <t>permanently cease power operations at the Palisdaes Nuclear Plant (PNP) in the spring of 2022. A more specific date for permanent power cessation cannot be provided at this time due to fuel cycle duration variables.</t>
    </r>
    <r>
      <rPr>
        <sz val="10"/>
        <rFont val="Arial"/>
        <family val="2"/>
      </rPr>
      <t xml:space="preserve">" </t>
    </r>
  </si>
  <si>
    <t xml:space="preserve">The NRC receive a license renewal application (LRA), dataed July 3, 2023 (ML23184A081). LRA availability notice was published in the FRN by the NRC on 08/09/2023. </t>
  </si>
  <si>
    <r>
      <rPr>
        <b/>
        <sz val="10"/>
        <rFont val="Arial"/>
        <family val="2"/>
      </rPr>
      <t xml:space="preserve">Decommissioning. </t>
    </r>
    <r>
      <rPr>
        <sz val="10"/>
        <rFont val="Arial"/>
        <family val="2"/>
      </rPr>
      <t>Certification of Permanent Cessation of Operations and Permanent Removal of Fuel (shutdown on May 31, 2019 and fuel removed from reactor vessel on June 9, 2019) (ML19161A033).  In an August 26, 2019 Holtec Press Release (HH 34.16), Holtec announced completing acquisition of Pilgrim Nuclear Power Station in Massachusetts from Entergy Corporation. (https://holtecinternational.com/wp-content/uploads/2019/08/HH-34.16.pdf)</t>
    </r>
  </si>
  <si>
    <r>
      <rPr>
        <b/>
        <sz val="10"/>
        <rFont val="Arial"/>
        <family val="2"/>
      </rPr>
      <t xml:space="preserve">Decommissioning. </t>
    </r>
    <r>
      <rPr>
        <sz val="10"/>
        <rFont val="Arial"/>
        <family val="2"/>
      </rPr>
      <t xml:space="preserve"> Exelon letter to NRC certified removal of all fuel from reactor pressure vessel on September 26, 2019 (ML19269E480)</t>
    </r>
  </si>
  <si>
    <r>
      <rPr>
        <b/>
        <sz val="10"/>
        <rFont val="Arial"/>
        <family val="2"/>
      </rPr>
      <t xml:space="preserve">Decommissioning.  </t>
    </r>
    <r>
      <rPr>
        <sz val="10"/>
        <rFont val="Arial"/>
        <family val="2"/>
      </rPr>
      <t xml:space="preserve">Permanently ceased operations on December 29, 2019 (ML15013A426). On February 9, 2017, Entergy and NorthStar Group Services, Inc. (NorthStar) submitted a request to transfer the Vermont Yankee Nuclear Power Station license from Entergy to NorthStar for the purposes of expedited decommissioning. The NRC issued an Order approving the transfer of the plant operating license in October 2018. The transfer included the plant’s dry cask spent fuel storage facility. </t>
    </r>
  </si>
  <si>
    <t>Pre-Access</t>
  </si>
  <si>
    <t>Random</t>
  </si>
  <si>
    <t>For Cause</t>
  </si>
  <si>
    <t>Post-Event</t>
  </si>
  <si>
    <t>Total +</t>
  </si>
  <si>
    <t>Alcohol
Totals</t>
  </si>
  <si>
    <t>Total Results 
without Alcohol</t>
  </si>
  <si>
    <t>Tested</t>
  </si>
  <si>
    <t>Positive</t>
  </si>
  <si>
    <t>All Sites</t>
  </si>
  <si>
    <t>DECON sites</t>
  </si>
  <si>
    <t>Sites w/o Construction &amp; DECON</t>
  </si>
  <si>
    <t>Results by Year</t>
  </si>
  <si>
    <t>Construction - Vogtle 3&amp;4</t>
  </si>
  <si>
    <t>Average Population Subject to Random Testing</t>
  </si>
  <si>
    <t>Source:  26.717 (Annual Reporting Forms)</t>
  </si>
  <si>
    <t>CONSTRUCTION</t>
  </si>
  <si>
    <t>Vogtle 3&amp;4</t>
  </si>
  <si>
    <t>Total</t>
  </si>
  <si>
    <t>HHS-Certified Labs Performing Testing for Part 26 Licensees &amp; Other Entities</t>
  </si>
  <si>
    <t>Primary</t>
  </si>
  <si>
    <t>Backup</t>
  </si>
  <si>
    <t>2021 OMB Clearance (used 2019 ARF data)</t>
  </si>
  <si>
    <t>Alere Toxicology (Gretna, LA)</t>
  </si>
  <si>
    <t>Clinical Reference Laboratory (Lenexa, KS)</t>
  </si>
  <si>
    <t>DrugScan Inc (Horsham, PA)</t>
  </si>
  <si>
    <t>Laboratory Corporation of America (RTP, NC)</t>
  </si>
  <si>
    <t>Quest Diagnostics (Lenexa, KS)</t>
  </si>
  <si>
    <t>Laboratory Corporation of America (South Haven, MS)</t>
  </si>
  <si>
    <t>Quest Diagnostics (Norristown, PA)</t>
  </si>
  <si>
    <t>Description of Data Element</t>
  </si>
  <si>
    <t>Value</t>
  </si>
  <si>
    <t>Unit</t>
  </si>
  <si>
    <t>Data Source</t>
  </si>
  <si>
    <t>NRC staff comments on notable changes</t>
  </si>
  <si>
    <t>FFD Drug &amp; Alcohol (D&amp;A) Testing Programs</t>
  </si>
  <si>
    <t>FFD prgm</t>
  </si>
  <si>
    <t>D&amp;A testing programs</t>
  </si>
  <si>
    <t>Operating reactors</t>
  </si>
  <si>
    <t>Fuel Cycle facilities</t>
  </si>
  <si>
    <t>Contractor/Vendors (C/Vs)</t>
  </si>
  <si>
    <t>Reactor Construction Site D&amp;A testing programs</t>
  </si>
  <si>
    <t>FFD D&amp;A Testing Programs --- Site Totals</t>
  </si>
  <si>
    <t>site</t>
  </si>
  <si>
    <t>Operating Reactors</t>
  </si>
  <si>
    <t>Reactors under Construction</t>
  </si>
  <si>
    <t>Corporate Offices</t>
  </si>
  <si>
    <t>C/Vs</t>
  </si>
  <si>
    <t>Drug Testing Laboratories</t>
  </si>
  <si>
    <t>Licensee Testing Facilities (LTFs)</t>
  </si>
  <si>
    <t>LTF</t>
  </si>
  <si>
    <t>HHS-certified laboratories (HHS labs)</t>
  </si>
  <si>
    <t>HHS labs</t>
  </si>
  <si>
    <t>Drug Testing Laboratories (number of sites using)</t>
  </si>
  <si>
    <t>Number of sites using an LTF</t>
  </si>
  <si>
    <t>Number of sites only using an HHS-lab</t>
  </si>
  <si>
    <t>D&amp;A Testing Program Data</t>
  </si>
  <si>
    <t>D&amp;A Prgm</t>
  </si>
  <si>
    <t>Construction</t>
  </si>
  <si>
    <t xml:space="preserve">Total Tests (all Reasons For Testing) </t>
  </si>
  <si>
    <t>Pre-access</t>
  </si>
  <si>
    <t>Post Event</t>
  </si>
  <si>
    <t>Total Individuals with D&amp;A testing violations (all Test Types)</t>
  </si>
  <si>
    <t>Total Testing violations (by results)</t>
  </si>
  <si>
    <r>
      <t xml:space="preserve">Number of </t>
    </r>
    <r>
      <rPr>
        <u/>
        <sz val="10"/>
        <color theme="1"/>
        <rFont val="Arial"/>
        <family val="2"/>
      </rPr>
      <t>drug &amp; alcohol</t>
    </r>
    <r>
      <rPr>
        <sz val="10"/>
        <color theme="1"/>
        <rFont val="Arial"/>
        <family val="2"/>
      </rPr>
      <t xml:space="preserve"> positive, adulterated, substituted, and refusal to test results</t>
    </r>
  </si>
  <si>
    <r>
      <t xml:space="preserve">Number of </t>
    </r>
    <r>
      <rPr>
        <u/>
        <sz val="10"/>
        <color theme="1"/>
        <rFont val="Arial"/>
        <family val="2"/>
      </rPr>
      <t>drug only positive</t>
    </r>
    <r>
      <rPr>
        <sz val="10"/>
        <color theme="1"/>
        <rFont val="Arial"/>
        <family val="2"/>
      </rPr>
      <t>, adulterated, substituted, and refusal to test results</t>
    </r>
  </si>
  <si>
    <t>24-hour reports under 26.719(b)</t>
  </si>
  <si>
    <t>report</t>
  </si>
  <si>
    <t>26.719(b) - 24-hour event reports</t>
  </si>
  <si>
    <t>30-day reports under 26.719(c)</t>
  </si>
  <si>
    <t>26.719(c) - 30-day event reports</t>
  </si>
  <si>
    <t>attempts</t>
  </si>
  <si>
    <t>Average</t>
  </si>
  <si>
    <t>10 CFR 170.20 Average Cost per Professional Hour</t>
  </si>
  <si>
    <t>hourly rate</t>
  </si>
  <si>
    <t>Fatigue management programs</t>
  </si>
  <si>
    <t>program</t>
  </si>
  <si>
    <t>Section</t>
  </si>
  <si>
    <t>Number of Record-
keepers</t>
  </si>
  <si>
    <t>Burden Estimate Change</t>
  </si>
  <si>
    <t>Footnote 
(May 2021 - April 2024) clearance</t>
  </si>
  <si>
    <t>Page</t>
  </si>
  <si>
    <t>26.27(a): Develop FFD policy statement</t>
  </si>
  <si>
    <t>26.27(a): Develop FFD procedures</t>
  </si>
  <si>
    <t>26.29(a) and (b): Develop FFD training course and exam</t>
  </si>
  <si>
    <t>26.31(b)(1)(v): Develop behavioral observation program (BOP) procedures</t>
  </si>
  <si>
    <t>26.31(d)(1)(i)(C): Develop rigorous testing procedures to ensure that the MRO can evaluate the use of substances not included in the NRC-required testing panel (if additional substance testing is performed)</t>
  </si>
  <si>
    <t>26.31(d)(1)(i)(D) and (d)(1)(ii): Documentation of forensic toxicologist review and certification of additional drug(s) to be included in the licensee or other entity's drug testing panel</t>
  </si>
  <si>
    <r>
      <rPr>
        <u/>
        <sz val="10"/>
        <color theme="1"/>
        <rFont val="Arial"/>
        <family val="2"/>
      </rPr>
      <t>Number of Recordkeepers</t>
    </r>
    <r>
      <rPr>
        <sz val="10"/>
        <color theme="1"/>
        <rFont val="Arial"/>
        <family val="2"/>
      </rPr>
      <t xml:space="preserve"> - 26.31(d)(1)(i)(D) and (d)(1)(ii). The NRC staff estimates that one (1) D&amp;A testing program over the 3-year period of this clearance will test for additional substances beyond the minimum drug-testing panel required by Part 26.</t>
    </r>
  </si>
  <si>
    <t>Page 17</t>
  </si>
  <si>
    <t>26.31(d)(1)(iii): Document additional drugs in testing panel</t>
  </si>
  <si>
    <t>26.31(d)(3)(iii)(A) and (d)(3)(iii)(C): Documentation of forensic toxicologist review and certification of lower drug testing cutoff levels than specified by Part 26, and inclusion of cutoff levels in the FFD policy and procedures</t>
  </si>
  <si>
    <r>
      <rPr>
        <u/>
        <sz val="10"/>
        <color theme="1"/>
        <rFont val="Arial"/>
        <family val="2"/>
      </rPr>
      <t>Number of Recordkeepers</t>
    </r>
    <r>
      <rPr>
        <sz val="10"/>
        <color theme="1"/>
        <rFont val="Arial"/>
        <family val="2"/>
      </rPr>
      <t xml:space="preserve"> - 26.31(d)(3)(iii)(A) and (d)(3)(iii)(c). The NRC staff estimates that one (1) D&amp;A testing program over the 3-year period of this clearance will use more stringent drug testing cutoff level(s) than required by Part 26.</t>
    </r>
  </si>
  <si>
    <t>26.37(a): Develop a system of files and procedures to protect personal information collected under Part 26</t>
  </si>
  <si>
    <t>26.39(a) and (b): Develop procedures for the review of a determination that an individual has violated the FFD policy</t>
  </si>
  <si>
    <t>26.127(a) – (e): Develop LTF procedures for specimen handling and chain-of-custody, assays performed, instrument and test setup, and remedial actions for systems and testing devices</t>
  </si>
  <si>
    <t>26.137(a): Develop LTF procedures for quality assurance/ quality control (QA/QC) program</t>
  </si>
  <si>
    <t>26.153(e): Record of pre-award inspection of new HHS lab (completed prior to awarding contract for testing services)</t>
  </si>
  <si>
    <r>
      <rPr>
        <u/>
        <sz val="10"/>
        <color theme="1"/>
        <rFont val="Arial"/>
        <family val="2"/>
      </rPr>
      <t>Number of Recordkeepers</t>
    </r>
    <r>
      <rPr>
        <sz val="10"/>
        <color theme="1"/>
        <rFont val="Arial"/>
        <family val="2"/>
      </rPr>
      <t xml:space="preserve"> - 26.153(e). The NRC staff estimates that an average of one (1) D&amp;A testing program per year will change one of its two existing HHS labs.  This assumption also applies to the requirements in Table 1 for sections 26.153(f); 26.155(a)(1), (a)(3) - (a)(5), (b), (c), (e) and (f); 26.157(a) - (e); and 26.159(a), (c), (e), and (f).</t>
    </r>
  </si>
  <si>
    <t>Page 18</t>
  </si>
  <si>
    <t>26.153(f): Record that Part 26 specified requirements included in a licensee's or other entity's contract with a new HHS lab</t>
  </si>
  <si>
    <t>26.203(a): Prepare fatigue management policy 
(in addition to 26.27 burden)</t>
  </si>
  <si>
    <t>26.203(b): Prepare fatigue management procedures  
(in addition to 26.27 burden)</t>
  </si>
  <si>
    <t>26.203(c): Prepare training on fatigue management.</t>
  </si>
  <si>
    <t>26.205(b): Develop work hour tracking system</t>
  </si>
  <si>
    <t>26.205(c): Develop individual work scheduling system</t>
  </si>
  <si>
    <t>26.401(b): Prepare a reactor construction site D&amp;A testing program plan</t>
  </si>
  <si>
    <t>26.405(d): Record of testing for specified drugs, adulterants, and alcohol, at Part 26 specified cutoff levels</t>
  </si>
  <si>
    <t xml:space="preserve">26.405(e): Develop specimen collection and D&amp;A testing procedures to protect the donor's privacy, integrity of the specimen, and stringent quality controls to ensure accurate test results </t>
  </si>
  <si>
    <t>26.406(a), (b), and (d): Develop a fitness monitoring program (applies if reactor construction site D&amp;A testing program does not conduct random testing)</t>
  </si>
  <si>
    <t>26.406(c): Develop procedures for fitness monitors
(applies if reactor construction site D&amp;A testing program does not conduct random testing)</t>
  </si>
  <si>
    <t>Tabulate burden by program element</t>
  </si>
  <si>
    <t>Burden 
Hours per Record-
keeper</t>
  </si>
  <si>
    <t xml:space="preserve"> Burden 
Estimate 
Change</t>
  </si>
  <si>
    <t>Sites</t>
  </si>
  <si>
    <t>Page 21</t>
  </si>
  <si>
    <t>Prgm</t>
  </si>
  <si>
    <t>26.27(b): Make FFD policy statement readily available to subject personnel</t>
  </si>
  <si>
    <t>26.27(c): Updates to FFD policy and procedures</t>
  </si>
  <si>
    <t>26.27(d): Provide FFD policy and procedures to NRC for review (performed during periodic inspections)</t>
  </si>
  <si>
    <t>26.29(b): Record of training completion (initial training on FFD policy) and results of comprehensive examination</t>
  </si>
  <si>
    <t>26.29(c)(2): Record of training completion 
(annual refresher training on FFD policy)</t>
  </si>
  <si>
    <t>26.29(d): Record acceptance of FFD training from other licensees' programs</t>
  </si>
  <si>
    <t>26.31(b)(1)(i): Records of background investigations, credit and criminal history checks, and psychological assessments of checks for performed on individuals designated as FFD personnel</t>
  </si>
  <si>
    <t>Page 22</t>
  </si>
  <si>
    <t>26.31(b)(1)(v): Record results of behavioral observation for FFD program personnel</t>
  </si>
  <si>
    <t>26.31(d)(3)(ii): Document LTF technician qualifications to perform validity and drug tests.</t>
  </si>
  <si>
    <t>26.33: Behavioral observation records</t>
  </si>
  <si>
    <t>26.35(c): Record of written waiver of right to privacy from individuals given to the Employee Assistance Program (EAP)</t>
  </si>
  <si>
    <t>26.35(c): Record of EAP disclosure to a licensee or other entity that an individual poses an immediate hazard, or who has waived in writing the right to privacy</t>
  </si>
  <si>
    <t>26.37(d): FFD management provides records to individual on an FFD violation</t>
  </si>
  <si>
    <t>26.39(a): Maintain procedures for the review of FFD violation determinations</t>
  </si>
  <si>
    <t>26.39(b): D&amp;A testing program provides notice to an individual of the grounds of an FFD policy violation determination and review procedures</t>
  </si>
  <si>
    <t>Page 23</t>
  </si>
  <si>
    <t>26.39(d): If a review of an FFD violation finds in favor of the individual, the licensee or other entity updates records (delete or correct information found to be inaccurate)</t>
  </si>
  <si>
    <t>26.39(e): C/V with a D&amp;A testing program provides review procedures to each individual that has violated the FFD policy</t>
  </si>
  <si>
    <t>26.41(d): Record of review of C/V audit results</t>
  </si>
  <si>
    <t>26.41(f): Document and report audit results</t>
  </si>
  <si>
    <t>26.41(g): Sharing of audit reports – D&amp;A testing programs may jointly conduct audits or accept audits of C/Vs and HHS labs conducted by other D&amp;A testing programs (if the audit addresses the same services utilized by each program)</t>
  </si>
  <si>
    <t>26.53(e)(2): Record that C/Vs informed licensee of the denial or termination of an individual's authorization</t>
  </si>
  <si>
    <t>26.53(g): Record that CVs and other licensees informed of Part 26 violations</t>
  </si>
  <si>
    <t>26.53(h): Obtain and retain written consent from each individual before initiating any actions under Subpart C of Part 26</t>
  </si>
  <si>
    <t>Page 25</t>
  </si>
  <si>
    <t>26.53(i): Individual applying for authorization is informed in writing of the reason(s) for denial or termination of authorization</t>
  </si>
  <si>
    <t>26.55(a)(1) - (a)(2): Initial authorization
26.57(a)(1) - (a)(2): Authorization update
26.59(a)(1) - (a)(2): Authorization reinstatement
For each individual applying for authorization, a record of a completed self-disclosure, employment history, and suitable inquiry is maintained</t>
  </si>
  <si>
    <t>26.59(c)(1): Obtain, review, and retain an applicant’s self-disclosure</t>
  </si>
  <si>
    <t>26.61(a), (a)(1), and (a)(2): Obtain, review, and retain an applicant’s written self-disclosure and employment history</t>
  </si>
  <si>
    <t>26.61(b) and (c): Specify the information to be collected in the self-disclosure and employment history</t>
  </si>
  <si>
    <t>26.63(a), (c), and (e): Obtain, review, and retain an applicant’s suitable inquiry</t>
  </si>
  <si>
    <t>Page 26</t>
  </si>
  <si>
    <t>26.63(c)(2): Obtain, review, and retain information on an applicant’s U.S. military service (i.e., form DD 214)</t>
  </si>
  <si>
    <t xml:space="preserve">26.63(c)(3): Document inability to obtain information from an applicant’s past employer(s) </t>
  </si>
  <si>
    <t>26.63(d) and (e): Maintain documentation of denial or unfavorable termination of authorization from other FFD programs</t>
  </si>
  <si>
    <t>26.65(d) and (e): Record of reinstatement or administrative withdrawal of authorization</t>
  </si>
  <si>
    <t>26.67 Record of random D&amp;A testing of persons who have applied for authorization and who have received a pre-access test, but who have yet to be granted authorization</t>
  </si>
  <si>
    <t>26.69(c)(2): Record that the licensee or other entity identified and resolved PDI (not reviewed and favorably resolved by a previous licensee or other entity)</t>
  </si>
  <si>
    <t>Page 27</t>
  </si>
  <si>
    <t>26.69(c)(3): Record that the licensee or other entity verified that an applicant with a prior FFD testing violation (i.e., a 5-year denial for a 2nd positive result) has abstained from substance abuse for at least 5 years</t>
  </si>
  <si>
    <t>26.69(c)(5): Record of negative results for pre-access D&amp;A testing (needed prior to granting authorization)</t>
  </si>
  <si>
    <t>26.69(d): Record of reviewing official’s determination on an applicant’s request for access authorization</t>
  </si>
  <si>
    <t>26.69(e): Record that follow-up testing and treatment plan for an applicant from the D&amp;A testing program of another licensee or other entity has been verified (that is treatment and follow-up testing successfully completed)</t>
  </si>
  <si>
    <t>26.69(e)(1): Record that information transmitted on testing and treatment plans to other FFD programs (at donor request)</t>
  </si>
  <si>
    <t>26.75(a) – (e), and (g): Records of sanctions for FFD violations</t>
  </si>
  <si>
    <t>Page 28</t>
  </si>
  <si>
    <t>26.75(i)(3): Eliminate from an individual’s record any references to a temporary administrative withdrawal of authorization due to an initial positive marijuana and/or cocaine test result at an LTF that did not confirm positive after testing at an HHS lab</t>
  </si>
  <si>
    <t xml:space="preserve">26.87(d)(3): If a collection site cannot be dedicated solely to collecting specimens, secure the portion of the facility when a specimen collection is in process and post a sign indicating access permitted only to authorized personnel </t>
  </si>
  <si>
    <t>26.89(a): Collector notifies FFD management that a donor failed to report to the collection site</t>
  </si>
  <si>
    <t>26.89(b)(1), (b)(2), and (b)(4): Record that ID and consent-to-testing form obtained</t>
  </si>
  <si>
    <t>26.89(b)(3): Record that FFD management informed that an individual did not present identification (pre-access testing)</t>
  </si>
  <si>
    <t>26.91(c)(1) - (c)(3): Record of evidential breath testing (EBT) device test results</t>
  </si>
  <si>
    <t>26.91(e)(4): Record that results cancelled after EBT calibration check failure</t>
  </si>
  <si>
    <t>Duplicative</t>
  </si>
  <si>
    <t>26.91(e)(5): EBT maintenance records</t>
  </si>
  <si>
    <t>26.93(a)(6): Document that alcohol pre-test questions communicated to the donor</t>
  </si>
  <si>
    <t>Page 29</t>
  </si>
  <si>
    <t>26.95(b)(5): Record donor identity for initial alcohol breath test</t>
  </si>
  <si>
    <t>26.97(b)(2): Record reason for new oral fluid alcohol test</t>
  </si>
  <si>
    <t>26.97(d): Record results and alcohol screening device used</t>
  </si>
  <si>
    <t>26.99(b): Record time of initial alcohol test of 0.02 percent or higher blood alcohol concentration (BAC)</t>
  </si>
  <si>
    <t xml:space="preserve">26.101(b)(7): Record time and BAC result of confirmatory alcohol test </t>
  </si>
  <si>
    <t>26.103(b): Record that FFD management notified of a confirmatory alcohol test result of 0.01 to 0.02 percent BAC</t>
  </si>
  <si>
    <t>Page 30</t>
  </si>
  <si>
    <t>26.119(b): Record that MRO provided information and instructions to the physician who is to perform the examination of a donor with a shy bladder</t>
  </si>
  <si>
    <t>26.125(b) and (c): Records on the proficiency and qualifications of LTF personnel</t>
  </si>
  <si>
    <t>Page 31</t>
  </si>
  <si>
    <t xml:space="preserve">26.129(a): Maintain documentation of access to secure areas of an LTF by all authorized individuals (i.e., an access log) </t>
  </si>
  <si>
    <t>26.129(b)(1): LTF record of report to senior licensee or other entity management of attempts to tamper with specimens in transit</t>
  </si>
  <si>
    <t>26.129(d): LTF personnel documenting the testing process and transfers of custody of each specimen and aliquots</t>
  </si>
  <si>
    <t>26.135(b): LTF record of direction from MRO to send Bottle B of a split specimen to a second HHS lab for testing</t>
  </si>
  <si>
    <t>26.137(a): Record of a QA/QC program and procedures for LTF</t>
  </si>
  <si>
    <t>26.137(b)(1)(ii): LTF documentation of performance testing of a device not approved by SAMHSA for point-of-collection testing</t>
  </si>
  <si>
    <t>26.137(b)(1)(iii): LTF documentation of annual test results for a device not approved by SAMHSA for point-of-collection testing</t>
  </si>
  <si>
    <t>26.137(b)(3): LTF records submitting 1 in 10 specimens that test negative on validity screening testing are sent to an HHS lab as part of the LTF's QA program</t>
  </si>
  <si>
    <t>26.137(d)(6): LTF records that 1 in 10 specimens that test negative on initial validity testing are sent to an HHS lab for testing as part of the LTF’s QA program</t>
  </si>
  <si>
    <t>26.137(e)(7): LTF documented procedures to protect against carryover material</t>
  </si>
  <si>
    <t>26.137(f)(5): LTF records on testing errors</t>
  </si>
  <si>
    <t>26.137(h): LTF labeling of standards and controls</t>
  </si>
  <si>
    <t>26.159(i): Record of written authorization to store specimens other than 1 year</t>
  </si>
  <si>
    <t>26.165(b)(1): Record of a donor request for the retesting of an aliquot of a single specimen or the testing of the Bottle B split specimen at a second HHS lab</t>
  </si>
  <si>
    <t>26.165(b)(3): Donor's written permission provided to the MRO for the retesting of an aliquot of a single specimen or the testing of the Bottle B split specimen at a second HHS lab</t>
  </si>
  <si>
    <t>Page 33</t>
  </si>
  <si>
    <t>26.165(f)(1)(iv) and (f)(2): Written record and notice that records purged of references to temporary administrative action</t>
  </si>
  <si>
    <t>26.167(f)(3): Record received from the Responsible Person of an HHS lab on a false positive BPTS testing error (determined to be technical or methodological), demonstrating that retesting of all positive, adulterated, substituted, and invalid specimens from the time of final resolution of the error back to the time of the last satisfactory performance test cycle has been completed</t>
  </si>
  <si>
    <t>Page 34</t>
  </si>
  <si>
    <t>26.169(c)(3): Records of HHS lab reports of quantitative test results for adulterated or substituted test results</t>
  </si>
  <si>
    <t>26.169(c)(4): Record of MRO contact with HHS lab to discuss whether testing by another HHS lab should be conducted on a specimen with an invalid result</t>
  </si>
  <si>
    <t>26.169(c)(5): Records of HHS lab reports of concentrations exceeding linear range</t>
  </si>
  <si>
    <t>Page 35</t>
  </si>
  <si>
    <t>26.169(h): Record of HHS lab statistical summary report of urinalysis testing results (for the calendar year)</t>
  </si>
  <si>
    <t>26.183(a): Documentation of MRO qualifications</t>
  </si>
  <si>
    <t>26.183(d)(2)(i): Record of MRO staff review and reporting of negative test results to FFD management</t>
  </si>
  <si>
    <t>26.185(d)(1): Documentation that donor declined to discuss test results with MRO</t>
  </si>
  <si>
    <t>26.185(e): Documentation reviewed by the MRO on a donor’s inability to discuss test results and a request to reopen proceeding</t>
  </si>
  <si>
    <t>26.185(f)(1): Record of MRO consultation with HHS lab to determine whether additional testing needed for an invalid specimen</t>
  </si>
  <si>
    <t>26.185(f)(2): Record of MRO contact with donor about an invalid test result, and medical information received</t>
  </si>
  <si>
    <t>26.185(h)(1): Record of MRO contact with donor about a substituted test result, and medical information received</t>
  </si>
  <si>
    <t>26.185(h)(2): Record of MRO confirmation of a substituted test result (no legitimate medical explanation)</t>
  </si>
  <si>
    <t>26.185(h)(3): MRO record of determination of a legitimate medical explanation for a substituted test result</t>
  </si>
  <si>
    <t>26.185(i)(1): Record of MRO contact with donor about an adulterated test result, and medical information received</t>
  </si>
  <si>
    <t>26.185(i)(2): Record of MRO confirmation of an adulterated test result (no legitimate medical explanation)</t>
  </si>
  <si>
    <t xml:space="preserve">26.185(i)(3): MRO record of determination of a legitimate medical explanation for an adulterated test result </t>
  </si>
  <si>
    <t>26.185(m): Record of MRO review of inspection and audit reports, QC data, multiple specimens, and other data to determine if positive, adulterated, substituted, or invalid result is scientifically insufficient for determination of FFD policy violation</t>
  </si>
  <si>
    <t>26.185(n): Record of MRO review of a positive, adulterated or substituted test result from a second HHS lab (results of retesting a single specimen or testing of a Bottle B split specimen), and MRO communication of the test result to the donor, and report results to FFD management</t>
  </si>
  <si>
    <t>26.185(o): Record of MRO request and HHS lab report of quantitation test results for testing performed on a specimen from a donor applying for reauthorization following a 1st positive drug test result</t>
  </si>
  <si>
    <t>26.187(d): SAE training requirements</t>
  </si>
  <si>
    <t>26.189(b): Determination of fitness record</t>
  </si>
  <si>
    <t>26.189(c): Record of for cause determination of fitness</t>
  </si>
  <si>
    <t>26.189(d): Record of modification of an initial determination of fitness</t>
  </si>
  <si>
    <t>Fatigue</t>
  </si>
  <si>
    <t>26.203(a): Updates to fatigue management policy 
(in addition to 26.27 burden)</t>
  </si>
  <si>
    <t>26.203(b): Updates to fatigue management procedures 
(in addition to 26.27 burden)</t>
  </si>
  <si>
    <t xml:space="preserve">26.203(c): Updates to training on fatigue management. </t>
  </si>
  <si>
    <t>26.203(d)(1) and (d)(2): Records of work hours, shift schedules, and shift cycles</t>
  </si>
  <si>
    <t>Burden accounted for under 
26.205(c), (d)(1), and (e)(4)</t>
  </si>
  <si>
    <t>26.203(d)(3): Documentation of waivers</t>
  </si>
  <si>
    <t>26.203(d)(4): Documentation of work hour reviews</t>
  </si>
  <si>
    <t>Burden accounted for under 
26.205(d)(2), (e)(3) and (e)(4)</t>
  </si>
  <si>
    <t>26.203(d)(5): Documentation of fatigue assessment</t>
  </si>
  <si>
    <t>26.205(b): Record of calculation of work hours</t>
  </si>
  <si>
    <t>26.205(c): Schedule work hours</t>
  </si>
  <si>
    <t>26.205(d)(2): Record of adequate rest breaks</t>
  </si>
  <si>
    <t>26.205(e)(1) and (2): Record of review of control of work hours twice per calendar year</t>
  </si>
  <si>
    <t>26.205(e)(3): Document methods for reviews</t>
  </si>
  <si>
    <t>26.205(e)(4): Record and trend problems in regarding work hours</t>
  </si>
  <si>
    <t>26.207(a)(4): Document basis for waiver</t>
  </si>
  <si>
    <t>26.211(f): Document results of fatigue assessments</t>
  </si>
  <si>
    <t>26.403(a): Updates to FFD policy and procedures 
(reactor construction site D&amp;A testing program)</t>
  </si>
  <si>
    <t xml:space="preserve">26.403(a): Provide FFD policy to individuals subject to a reactor construction site D&amp;A testing program </t>
  </si>
  <si>
    <t>26.405(b): Records of random D&amp;A tests</t>
  </si>
  <si>
    <t xml:space="preserve">26.405(c)(1): Records of pre-assignment D&amp;A test </t>
  </si>
  <si>
    <t>26.405(c)(2) and (c)(3): Records of for-cause and post accident D&amp;A tests</t>
  </si>
  <si>
    <t xml:space="preserve">26.405(e): Updates to specimen collection and D&amp;A testing procedures to protect the donor's privacy, integrity of the specimen, and stringent quality controls to ensure accurate test results </t>
  </si>
  <si>
    <t>26.405(f): Record that testing conducted at an HHS lab</t>
  </si>
  <si>
    <t>26.406(c): Updates to fitness monitoring procedures (programs that do not adopt random testing and behavioral observation)</t>
  </si>
  <si>
    <t>26.411(a): Updates to procedures for maintaining a system of files to protect personal information collected under Subpart K of Part 26</t>
  </si>
  <si>
    <t>26.411(a) and (b): Collection of personal information under Subpart K of Part 26</t>
  </si>
  <si>
    <t>26.413: Document results of review process</t>
  </si>
  <si>
    <t>26.415: Document and report audit results</t>
  </si>
  <si>
    <t>26.417(a): Records pertaining to the administration of a reactor construction site D&amp;A testing program</t>
  </si>
  <si>
    <t>26.417(b)(1): Report to NRC by telephone within 24 hours programmatic failures in a reactor construction site D&amp;A testing program</t>
  </si>
  <si>
    <t>26.713(a)(2): Records pertaining to the determination of a violation of FFD policy and related management actions</t>
  </si>
  <si>
    <t>26.713(a)(3): Documentation of the granting and termination of authorization</t>
  </si>
  <si>
    <t>26.713(d): Records of superseded versions of FFD policies and procedures</t>
  </si>
  <si>
    <t>26.713(e): Records of written agreements for services under Part 26</t>
  </si>
  <si>
    <t>26.715(b)(1): Retain personnel files on staff at collection sites and LTFs</t>
  </si>
  <si>
    <t>26.715(b)(2): Retain collection site and LTF chain-of-custody documents</t>
  </si>
  <si>
    <t>26.715(b)(3): Retain LTF QA/QA records</t>
  </si>
  <si>
    <t>26.715(b)(4): Retain superseded procedures (LTFs and collection sites)</t>
  </si>
  <si>
    <t>26.715(b)(5): Retain all test data from LTF (including calibration curves and any calculations used in determining test results</t>
  </si>
  <si>
    <t>26.715(b)(8): Records from LTF and HHS lab on the investigation of testing errors or unsatisfactory performance, and any corrective actions taken</t>
  </si>
  <si>
    <t>26.715(b)(10): Records of preventative maintenance on LTF instruments</t>
  </si>
  <si>
    <t>26.715(b)(11): Retain records that summarize any test results the MRO determined to be scientifically insufficient for further action</t>
  </si>
  <si>
    <t>26.715(b)(12): LTF retains computer-generated data</t>
  </si>
  <si>
    <t>26.715(b)(13): Retain records (e.g., an access log) of authorized visitors, maintenance personnel and service personnel who accessed LTF secure areas</t>
  </si>
  <si>
    <t>26.715(b)(14): Retain records of the inspection, maintenance and calibration of EBTs (collection sites)</t>
  </si>
  <si>
    <t>26.717(c): Analyze fatigue management program data annually</t>
  </si>
  <si>
    <t>26.717(d): D&amp;A test results leading to termination</t>
  </si>
  <si>
    <t>26.717(g): Collect and report D&amp;A testing program data to the NRC (for C/V with a testing program)</t>
  </si>
  <si>
    <t>26.719(b): Prepare information to make a 24-hour event report to the NRC</t>
  </si>
  <si>
    <t>26.719(c): Prepare 30-day event report documentation.</t>
  </si>
  <si>
    <t>26.719(d): Document non-reportable indicators of FFD program weaknesses</t>
  </si>
  <si>
    <t>26.821(a): Provide NRC with access to records (to inspect, copy, or take away copies of records)</t>
  </si>
  <si>
    <t>26.821(b): Written agreement between C/Vs and licensees to permit authorized NRC representatives to inspect, copy, or take away copies of C/Vs documents, records, and reports</t>
  </si>
  <si>
    <t>2021-2024</t>
  </si>
  <si>
    <t>2024-2027</t>
  </si>
  <si>
    <t>Difference</t>
  </si>
  <si>
    <t>Construction (Subpart K)</t>
  </si>
  <si>
    <t>FFD D&amp;A programs</t>
  </si>
  <si>
    <t>FFD D&amp;A sites</t>
  </si>
  <si>
    <r>
      <rPr>
        <b/>
        <sz val="10"/>
        <rFont val="Arial"/>
        <family val="2"/>
      </rPr>
      <t>Index Key:</t>
    </r>
    <r>
      <rPr>
        <sz val="10"/>
        <rFont val="Arial"/>
        <family val="2"/>
      </rPr>
      <t xml:space="preserve">
- Updated
- New</t>
    </r>
  </si>
  <si>
    <t>Responses 
per 
Respondent</t>
  </si>
  <si>
    <t>Total 
Responses</t>
  </si>
  <si>
    <t>Burden per Response (Hours)</t>
  </si>
  <si>
    <t>Total Burden (Hours)</t>
  </si>
  <si>
    <r>
      <rPr>
        <u/>
        <sz val="10"/>
        <color rgb="FF000000"/>
        <rFont val="Arial"/>
        <family val="2"/>
      </rPr>
      <t>Number of Respondents</t>
    </r>
    <r>
      <rPr>
        <sz val="10"/>
        <color rgb="FF000000"/>
        <rFont val="Arial"/>
        <family val="2"/>
      </rPr>
      <t xml:space="preserve"> - 26.9. The NRC staff does not anticipate receiving any licensing exemption requests for D&amp;A testing program requirements during the current clearance period.  </t>
    </r>
  </si>
  <si>
    <r>
      <rPr>
        <u/>
        <sz val="10"/>
        <color rgb="FF000000"/>
        <rFont val="Arial"/>
        <family val="2"/>
      </rPr>
      <t>Number of Respondents</t>
    </r>
    <r>
      <rPr>
        <sz val="10"/>
        <color rgb="FF000000"/>
        <rFont val="Arial"/>
        <family val="2"/>
      </rPr>
      <t xml:space="preserve"> - 26.9. The NRC staff estimates that the licensees of 40 operating reactor sites per year will submit an exemption request using the COVID-19 Work Hour Controls Exemption Request Form.
</t>
    </r>
    <r>
      <rPr>
        <u/>
        <sz val="10"/>
        <color rgb="FFFF0000"/>
        <rFont val="Arial"/>
        <family val="2"/>
      </rPr>
      <t>NRC internal note</t>
    </r>
    <r>
      <rPr>
        <sz val="10"/>
        <color rgb="FFFF0000"/>
        <rFont val="Arial"/>
        <family val="2"/>
      </rPr>
      <t>: Included burden to complete and submit COVID-19 exemption request form for Fatigue management programs.</t>
    </r>
  </si>
  <si>
    <t>26.77(c) Report impaired NRC employee</t>
  </si>
  <si>
    <t>26.137(b)(3): Report false negative LTF validity screening result</t>
  </si>
  <si>
    <t>26.203(e)(1): Prepare information on waivers of work hour controls for inclusion in the annual FFD program performance report for fatigue management programs</t>
  </si>
  <si>
    <r>
      <rPr>
        <u/>
        <sz val="10"/>
        <color rgb="FF000000"/>
        <rFont val="Arial"/>
        <family val="2"/>
      </rPr>
      <t>Number of Respondents</t>
    </r>
    <r>
      <rPr>
        <sz val="10"/>
        <color rgb="FF000000"/>
        <rFont val="Arial"/>
        <family val="2"/>
      </rPr>
      <t xml:space="preserve"> - 26.203(e)(1). The NRC staff updated the calculation method to reflect burden by operating reactor site instead of by fatigue management program.  This method is more accurate because work activity is performed and reported at the operating site level.  Note also applies to 26.203(e)(2). 
</t>
    </r>
    <r>
      <rPr>
        <u/>
        <sz val="10"/>
        <color rgb="FFFF0000"/>
        <rFont val="Arial"/>
        <family val="2"/>
      </rPr>
      <t>NRC internal notes</t>
    </r>
    <r>
      <rPr>
        <sz val="10"/>
        <color rgb="FFFF0000"/>
        <rFont val="Arial"/>
        <family val="2"/>
      </rPr>
      <t>: 
(1) Changed calculation method from program to site to improve estimate accuracy. For comparison on burden hours per recordkeeper by site, the last clearance value = (1,050 hrs/ 59 sites) = 17.8 hrs/site
(2) Final package change # of respondents (3 sites DECON in yr 1 so (54+51+51 sites) / 3 yrs = 52 sites/yr)</t>
    </r>
  </si>
  <si>
    <t>26.203(e)(2): Prepare summary of fatigue corrective actions for inclusion in the annual FFD program performance report for fatigue management programs</t>
  </si>
  <si>
    <r>
      <rPr>
        <u/>
        <sz val="10"/>
        <color rgb="FFFF0000"/>
        <rFont val="Arial"/>
        <family val="2"/>
      </rPr>
      <t>NRC internal notes:</t>
    </r>
    <r>
      <rPr>
        <sz val="10"/>
        <color rgb="FFFF0000"/>
        <rFont val="Arial"/>
        <family val="2"/>
      </rPr>
      <t xml:space="preserve"> 
(1) Changed calculation method from program to site to improve estimate accuracy. For comparison on burden hours per recordkeeper by site, the last clearance value = (126 hrs/59 sites) = 2.1 hrs/site
(2) Final package change # of respondents (3 sites DECON in yr 1 so (54+51+51 sites) / 3 yrs = 52 sites/yr)</t>
    </r>
  </si>
  <si>
    <t>26.417(b)(1): Report to NRC by telephone within 24 hours of identifying a programmatic failure in a reactor construction site D&amp;A testing program</t>
  </si>
  <si>
    <t>26.719(b): Report to the NRC by telephone within 24 hours of identifying a significant D&amp;A testing violation</t>
  </si>
  <si>
    <r>
      <rPr>
        <u/>
        <sz val="10"/>
        <color rgb="FF000000"/>
        <rFont val="Arial"/>
        <family val="2"/>
      </rPr>
      <t>Number of Respondents</t>
    </r>
    <r>
      <rPr>
        <sz val="10"/>
        <color rgb="FF000000"/>
        <rFont val="Arial"/>
        <family val="2"/>
      </rPr>
      <t xml:space="preserve"> - 26.719(b). NRC estimates that licensee and other entities will submit 36 reports per year under section 26.719(b). This value is the average number of section 26.719(b) reports received from CY 2016 through CY 2018 (32 reports in 2016, 31 reports in 2017, and 45 reports in 2018). The previous clearance estimated 37 reports per year.</t>
    </r>
  </si>
  <si>
    <t>26.719(c)(1): Submit a report to the NRC within 30 days of completing an investigation into an LTF or HHS lab testing error</t>
  </si>
  <si>
    <r>
      <rPr>
        <u/>
        <sz val="10"/>
        <color rgb="FF000000"/>
        <rFont val="Arial"/>
        <family val="2"/>
      </rPr>
      <t xml:space="preserve">Number of Respondents </t>
    </r>
    <r>
      <rPr>
        <sz val="10"/>
        <color rgb="FF000000"/>
        <rFont val="Arial"/>
        <family val="2"/>
      </rPr>
      <t>- 26.719(c)(1). NRC estimates that licensee and other entities will submit 6 reports per year under section 26.719(c)(1). This value is the average number of section 26.719(c)(1) reports received from CY 2016 through CY 2018 (3 reports in 2016, 12 reports in 2017, and 4 reports in 2018). The previous clearance estimated 8 reports year.</t>
    </r>
  </si>
  <si>
    <t>26.719(c)(2): Notify the NRC by telephone within 24 hours of receiving notice of a false positive on a BPTS test result</t>
  </si>
  <si>
    <r>
      <rPr>
        <b/>
        <sz val="10"/>
        <color theme="1"/>
        <rFont val="Arial"/>
        <family val="2"/>
      </rPr>
      <t>Index Key:</t>
    </r>
    <r>
      <rPr>
        <sz val="10"/>
        <color theme="1"/>
        <rFont val="Arial"/>
        <family val="2"/>
      </rPr>
      <t xml:space="preserve">
- Updated</t>
    </r>
  </si>
  <si>
    <r>
      <t xml:space="preserve">Section
</t>
    </r>
    <r>
      <rPr>
        <sz val="10"/>
        <color theme="1"/>
        <rFont val="Arial"/>
        <family val="2"/>
      </rPr>
      <t/>
    </r>
  </si>
  <si>
    <t>Burden 
Hours per Response</t>
  </si>
  <si>
    <t>Burden 
Estimate
Change</t>
  </si>
  <si>
    <t>26.31(b)(1)(i): Individual applying for access to serve as FFD program personnel provides background check information for the background investigation, credit and criminal history checks, and psychological assessment</t>
  </si>
  <si>
    <t xml:space="preserve">26.35(a): Employee assistance program (EAP) records </t>
  </si>
  <si>
    <t>26.35(c): Individual completes and provides the EAP with a written waiver of right to privacy to share information with FFD management</t>
  </si>
  <si>
    <t>26.35(c): Record of EAP disclosure to FFD management about an individual that poses an immediate hazard</t>
  </si>
  <si>
    <t>26.53(h): Applicant provides written consent before any actions are initiated under Subpart C of Part 26</t>
  </si>
  <si>
    <t>26.55(a)(1) - (a)(2): Initial authorization
26.57(a)(1) - (a)(2): Authorization update
26.59(a)(1) - (a)(2): Authorization reinstatement
Each individual applying for authorization must complete a self-disclosure, employment history, and suitable inquiry</t>
  </si>
  <si>
    <t>26.59(c)(1): Applicant prepares self-disclosure (for authorization reinstatement period of interruption of no more than 30 days)</t>
  </si>
  <si>
    <t>26.61(a): Applicant prepares self-disclosure and employment history</t>
  </si>
  <si>
    <t>26.63(a), (c), and (e): Former employer(s) provide information to the licensee or other entity to verify an applicant’s suitable inquiry information on previous authorization(s)</t>
  </si>
  <si>
    <t>26.63(c)(2): U.S. Department of Defense (DOD) provides licensee or other entity with form DD 214 which details an applicant’s military service record</t>
  </si>
  <si>
    <t>26.63(c)(3): Former employer refuses to provide information to the licensee or other entity about an applicant’s prior employment history</t>
  </si>
  <si>
    <t>26.67: Records of random D&amp;A testing of persons who have applied for authorization, but who have not been granted unescorted access authorization</t>
  </si>
  <si>
    <t>26.69(b) and (c)(1): Applicant provides written self-disclosure and employment history to the licensee or other entity (for authorization following a 1st or 2nd positive drug or alcohol test result, or if other PDI is identified)</t>
  </si>
  <si>
    <t>26.69(c)(2): Former employer(s) of an applicant provide response to licensee or other entity request to confirm suitable inquiry information for an applicant with PDI</t>
  </si>
  <si>
    <t>26.85(e): Maintain personnel files for alternative collectors</t>
  </si>
  <si>
    <t>26.89(a): Record that a donor did not appear for testing (non-licensee collection site)</t>
  </si>
  <si>
    <t>26.89(c): Record that FFD management informed that a donor refused to cooperate with the collection procedures (non-licensee collection site)</t>
  </si>
  <si>
    <t>26.91(e)(4): Record that results cancelled after EBT calibration check failure (non-licensee collection site)</t>
  </si>
  <si>
    <t>26.91(e)(5): Prepare record of EBT maintenance (non-licensee collection site)</t>
  </si>
  <si>
    <t>26.93(a)(6): Document alcohol pre-test questions asked and answered (non-licensee collection site)</t>
  </si>
  <si>
    <t>26.95(b)(5): Record donor identity for initial alcohol breath test (non-licensee collection site)</t>
  </si>
  <si>
    <t>26.97(b)(2): Record reason for new oral fluid alcohol test (non-licensee collection site)</t>
  </si>
  <si>
    <t>26.97(d): Record results and alcohol screening device used (non-licensee collection site)</t>
  </si>
  <si>
    <t>26.99(b): Record test time of initial test with 0.02 percent BAC or higher (non-licensee collection site)</t>
  </si>
  <si>
    <t>26.101(b)(7): EBT printout of confirmatory alcohol test result includes time of test (non-licensee collection site)</t>
  </si>
  <si>
    <t>26.103(b): Collector informs FFD management of result between 0.01 and 0.02 percent BAC when donor in work status 3 or more hours (non-licensee collection site)</t>
  </si>
  <si>
    <t>26.119(a), (e), and (f): Physician evaluating shy-bladder claim prepares report of medical examination of donor and provides this information to the MRO</t>
  </si>
  <si>
    <t>Burden covered by HHS lab certification requirements OMB Clearance No. 0930-0158</t>
  </si>
  <si>
    <t>26.159(a): Retain records (e.g., an access log) of authorized visitors, maintenance personnel, and service personnel who accessed secure areas of HHS lab</t>
  </si>
  <si>
    <t>26.159(b)(1): Record that the HHS lab notified the licensee or other entity within 24 hours of identifying evidence of specimen tampering</t>
  </si>
  <si>
    <t>26.167(a): HHS lab documents QA program (encompasses all aspects of the testing process)</t>
  </si>
  <si>
    <t>26.167(c)(2)(i): Refractometer at the HHS lab must display specific gravity to 4 decimals and be interfaced with laboratory information management system or computer and/or document result by hard copy or electronic display</t>
  </si>
  <si>
    <t>26.167(f)(3): False positive error on BPTS test and the error is technical or methodological, the HHS lab Responsible Person must document that retesting of all positive, adulterated, substituted, and invalid specimens from the time of final resolution of the error back to the time of the last satisfactory performance test cycle has been completed, as requested by the licensee or other entity</t>
  </si>
  <si>
    <t>26.167(h): HHS lab labels standards and controls</t>
  </si>
  <si>
    <t>26.169(c)(4): HHS lab record of contact with MRO to discuss if additional testing by another HHS lab should be conducted on a specimen with an invalid test result</t>
  </si>
  <si>
    <t>26.185(e): Donor provides documentation to the MRO demonstrating an inability to discuss test results and requesting the test result determination be reopened</t>
  </si>
  <si>
    <t>26.185(n): Second HHS lab provides the MRO with test result report (for retesting of an aliquot of a single specimen or the testing of a Bottle B split specimen)</t>
  </si>
  <si>
    <t>26.189(b): If a qualified treatment professional other than the MRO or SAE performs a determination of fitness on an individual, that treatment professional completes and provides a written determination to the MRO</t>
  </si>
  <si>
    <t>26.209(a): Individual declares that due to fatigue, he or she is unable to safety and competently perform his or her duties</t>
  </si>
  <si>
    <t>26.411(b): Applicant provides written consent to the reactor construction site D&amp;A testing program</t>
  </si>
  <si>
    <t>26.715(b)(2): Retain HHS lab chain-of-custody documents</t>
  </si>
  <si>
    <t>26.715(b)(3): Retain HHS lab QA/QC records</t>
  </si>
  <si>
    <t>26.715(b)(4): Retain HHS lab superseded procedures</t>
  </si>
  <si>
    <t>26.715(b)(6): HHS lab test reports</t>
  </si>
  <si>
    <t>26.715(b)(7): HHS lab performance testing records</t>
  </si>
  <si>
    <t>26.821(b): Written agreement between C/Vs and licensees to permit authorized NRC representatives to inspect, copy, or take away copies of C/V’s documents, records, and reports</t>
  </si>
  <si>
    <t>Table 5: Annualized NRC Burden</t>
  </si>
  <si>
    <r>
      <rPr>
        <b/>
        <u/>
        <sz val="10"/>
        <color theme="1"/>
        <rFont val="Arial"/>
        <family val="2"/>
      </rPr>
      <t>Index Key:</t>
    </r>
    <r>
      <rPr>
        <sz val="10"/>
        <color theme="1"/>
        <rFont val="Arial"/>
        <family val="2"/>
      </rPr>
      <t xml:space="preserve">
- Updated
</t>
    </r>
  </si>
  <si>
    <t>NRC ACTION</t>
  </si>
  <si>
    <t>Burden 
Hours / 
Action</t>
  </si>
  <si>
    <t>Total 
Hours</t>
  </si>
  <si>
    <t>Burden
Estimate
Change</t>
  </si>
  <si>
    <t>Table</t>
  </si>
  <si>
    <t>Description</t>
  </si>
  <si>
    <t>Responses</t>
  </si>
  <si>
    <t>Annualized
Burden Hours</t>
  </si>
  <si>
    <t>Change
Hours</t>
  </si>
  <si>
    <t>Change
%</t>
  </si>
  <si>
    <t>Recordkeeping (One-Time)</t>
  </si>
  <si>
    <t>Recordkeeping (Annual)</t>
  </si>
  <si>
    <t>Annual Reporting</t>
  </si>
  <si>
    <t>Third Party Disclosure (Annual)</t>
  </si>
  <si>
    <t>TOTAL</t>
  </si>
  <si>
    <t>Tables 1 + 2 Burden &gt;&gt;&gt;</t>
  </si>
  <si>
    <t>Records storage costs &gt;&gt;&gt;</t>
  </si>
  <si>
    <t>Actions</t>
  </si>
  <si>
    <t>NRC Action</t>
  </si>
  <si>
    <t>Total Number of Respondents</t>
  </si>
  <si>
    <t>Reactor construction sites D&amp;A testing programs</t>
  </si>
  <si>
    <t>Pre-access testing (D&amp;A testing programs)</t>
  </si>
  <si>
    <t>Pre-access testing (reactor construction site D&amp;A testing programs</t>
  </si>
  <si>
    <t>BPTS suppliers</t>
  </si>
  <si>
    <t>EAPs</t>
  </si>
  <si>
    <t>Non-licensee collection sites</t>
  </si>
  <si>
    <t>Total Respondents</t>
  </si>
  <si>
    <t>Total Number of Responses</t>
  </si>
  <si>
    <t>Total Responses</t>
  </si>
  <si>
    <t>LTFs</t>
  </si>
  <si>
    <t>2024-2027 OMB Clearance</t>
  </si>
  <si>
    <t>2019 Results</t>
  </si>
  <si>
    <t>2020 Results</t>
  </si>
  <si>
    <t>2021 Results</t>
  </si>
  <si>
    <r>
      <t xml:space="preserve">Pilgrim </t>
    </r>
    <r>
      <rPr>
        <sz val="10"/>
        <color rgb="FFFF0000"/>
        <rFont val="Arial"/>
        <family val="2"/>
      </rPr>
      <t>(ISFSI only site since 12/14/2021)</t>
    </r>
  </si>
  <si>
    <r>
      <rPr>
        <sz val="10"/>
        <rFont val="Arial"/>
        <family val="2"/>
      </rPr>
      <t>Palisades</t>
    </r>
    <r>
      <rPr>
        <sz val="10"/>
        <color rgb="FFFF0000"/>
        <rFont val="Arial"/>
        <family val="2"/>
      </rPr>
      <t xml:space="preserve"> (shutdown 05/20/2022)</t>
    </r>
  </si>
  <si>
    <t>2024 OMB Clearance (used 2022 ARF data)</t>
  </si>
  <si>
    <t>ElSohly Laboratories (Oxford, MS)</t>
  </si>
  <si>
    <r>
      <rPr>
        <sz val="10"/>
        <color rgb="FFFF0000"/>
        <rFont val="Arial"/>
        <family val="2"/>
      </rPr>
      <t>Laboratory Corporation of America (</t>
    </r>
    <r>
      <rPr>
        <sz val="10"/>
        <color theme="1"/>
        <rFont val="Arial"/>
        <family val="2"/>
      </rPr>
      <t>MedTox Laboratories, St. Paul, MN)</t>
    </r>
  </si>
  <si>
    <t>Laboratory Corporation of America (MedTox Laboratories, St. Paul, MN)</t>
  </si>
  <si>
    <t xml:space="preserve">Page 
49 
</t>
  </si>
  <si>
    <t xml:space="preserve">Page 
50 
</t>
  </si>
  <si>
    <t xml:space="preserve">Page 
51
</t>
  </si>
  <si>
    <t xml:space="preserve">Page 
52
</t>
  </si>
  <si>
    <t xml:space="preserve">Page 
53
</t>
  </si>
  <si>
    <t xml:space="preserve">Page 
56
</t>
  </si>
  <si>
    <t xml:space="preserve">Page 
57
</t>
  </si>
  <si>
    <t xml:space="preserve">Page 
58
</t>
  </si>
  <si>
    <t xml:space="preserve">Page 
61
</t>
  </si>
  <si>
    <t xml:space="preserve">Page 
62
</t>
  </si>
  <si>
    <t xml:space="preserve">Page 
45
</t>
  </si>
  <si>
    <t xml:space="preserve">Page 
47
</t>
  </si>
  <si>
    <t xml:space="preserve">Page 
48
</t>
  </si>
  <si>
    <t>Page 
36</t>
  </si>
  <si>
    <t>Page 
37</t>
  </si>
  <si>
    <t xml:space="preserve">Page 
38 
</t>
  </si>
  <si>
    <t>Page 
38</t>
  </si>
  <si>
    <t>Page 
39</t>
  </si>
  <si>
    <t>Page 
40</t>
  </si>
  <si>
    <t>Page 
41</t>
  </si>
  <si>
    <t>Page 
43</t>
  </si>
  <si>
    <t>Page 
44</t>
  </si>
  <si>
    <r>
      <t xml:space="preserve">All Sites </t>
    </r>
    <r>
      <rPr>
        <sz val="10"/>
        <color rgb="FFFF0000"/>
        <rFont val="Arial"/>
        <family val="2"/>
      </rPr>
      <t>(with modeled ops #s for Vogtle 3&amp;4)</t>
    </r>
  </si>
  <si>
    <r>
      <t xml:space="preserve">Palisades </t>
    </r>
    <r>
      <rPr>
        <sz val="11"/>
        <color rgb="FFFF0000"/>
        <rFont val="Arial"/>
        <family val="2"/>
      </rPr>
      <t xml:space="preserve">(ceased operating on </t>
    </r>
    <r>
      <rPr>
        <sz val="11"/>
        <rFont val="Arial"/>
        <family val="2"/>
      </rPr>
      <t>5/20/2022)</t>
    </r>
  </si>
  <si>
    <t>&lt;&lt;Changed from 51 to 53, prior clearance assumed Byron &amp; Dresden would shutdown (they did not)</t>
  </si>
  <si>
    <t>Followup</t>
  </si>
  <si>
    <t>Vogtle 1&amp;2 - 2019</t>
  </si>
  <si>
    <t>Vogtle 1&amp;2 - 2020</t>
  </si>
  <si>
    <t>&lt;&lt; Average was 36 in previous clearance (32 in 2016; 31 in 2017; 45 in 2018)</t>
  </si>
  <si>
    <t>&lt;&lt; Average was 6 in previous clearance (3 in 2016; 12 in 2017; 4 in 2018)</t>
  </si>
  <si>
    <t>&lt;&lt; Average was 128 in previous clearance (98 in 2016; 133 in 2017, and 152 in 2018)</t>
  </si>
  <si>
    <t>Total 
Tests</t>
  </si>
  <si>
    <t>Amended in 2022 Part 26 final rule</t>
  </si>
  <si>
    <t>Burden accounted for under 
26.125(b) and (c)</t>
  </si>
  <si>
    <t>Burden accounted for under 
26.189(c)</t>
  </si>
  <si>
    <t>Burden accounted for under 
26.41(f) and (g)</t>
  </si>
  <si>
    <t>Burden accounted for under 
 26.61(a), (a)(1), and (a)(2), 
and 26.63 (a), (c), and (e)</t>
  </si>
  <si>
    <t>Burden accounted for under 
26.61(a), (a)(1) and (a)(2)</t>
  </si>
  <si>
    <t>Burden accounted for under
26.183(d)(2)(i)</t>
  </si>
  <si>
    <t>Burden accounted for under 
26.61(a)</t>
  </si>
  <si>
    <t>Burden accounted for under 
26.69(c)(4)</t>
  </si>
  <si>
    <t>Burden accounted for under 
26.27(c)</t>
  </si>
  <si>
    <t>Burden accounted for under 
26.39(b)</t>
  </si>
  <si>
    <t>Burden accounted for under
26.107(b)</t>
  </si>
  <si>
    <t>Burden accounted for under
26.715(b)(2)</t>
  </si>
  <si>
    <t>Burden accounted for under 
26.715(b)(14)</t>
  </si>
  <si>
    <t>Burden accounted for under 
26.107(b)</t>
  </si>
  <si>
    <t>Burden accounted for under
 26.107(b)</t>
  </si>
  <si>
    <t>Burden accounted for under 
26.117(c) - (e)</t>
  </si>
  <si>
    <t>Burden accounted for under 
26.165(b)(6)</t>
  </si>
  <si>
    <t>Burden accounted for under 
26.127 (a) - (e)</t>
  </si>
  <si>
    <t>Burden accounted for under
26.169(c)(1)</t>
  </si>
  <si>
    <t>Burden accounted for under
26.165(b)(6)</t>
  </si>
  <si>
    <t>Burden accounted for under
26.185(c)</t>
  </si>
  <si>
    <t>Burden accounted for under 
26.183(c)(1)</t>
  </si>
  <si>
    <t>Burden accounted for under 
26.185(f)(1)</t>
  </si>
  <si>
    <t>Burden accounted for under 
26.169(c)(1)</t>
  </si>
  <si>
    <t>Burden accounted for under 
26.185(c)</t>
  </si>
  <si>
    <t>Burden accounted for under 
26.183(d)(1)(ii)(D)</t>
  </si>
  <si>
    <t xml:space="preserve">Burden accounted for under 
26.183(d)(2)(i) and 26.185(c)
</t>
  </si>
  <si>
    <t>Burden accounted for under 
26.207(a)(4)</t>
  </si>
  <si>
    <t>Burden accounted for under 
26.211(f)</t>
  </si>
  <si>
    <t>26.713(b)(1): Records of FFD training and examinations conducted under 26.29</t>
  </si>
  <si>
    <t>26.713(b)(2): Records of audits, audit findings, and corrective actions taken under 26.41</t>
  </si>
  <si>
    <t>26.713(f): Records of background investigations, credit and criminal history checks, and psychological assessments of FFD program personnel conducted under 26.31(b)(1)(i)</t>
  </si>
  <si>
    <t>26.715(a): Documentation of all aspect of testing process at collection sites and LTFs (not otherwise specified in 26.715(b))</t>
  </si>
  <si>
    <t>Burden accounted for under
 26.129(a)</t>
  </si>
  <si>
    <t>26.75(h): Record that an individual’s authorization was administratively withdrawn due to impairment confirmed under 26.189, or because the individual posed a safety hazard</t>
  </si>
  <si>
    <t>26.139(d): Record that the LTF prepared a summary of test results for inclusion in the FFD annual program performance report submitted under 26.717</t>
  </si>
  <si>
    <t>Burden accounted for under
 26.61(a), and 26.63(a), (c), and (e)</t>
  </si>
  <si>
    <t>26.4(j): For personnel granted authorization by a licensee, who are covered by a D&amp;A testing program regulated by a State or Federal agency – (1) provision of training record to the licensee to demonstrate section 26.29(a) training requirements met (if not already covered in the existing program); (2) notification of any FFD policy violations by those granted authorization by the licensee or other entity</t>
  </si>
  <si>
    <t>26.153(g): Supply memorandum to HHS lab explaining use of non-Federal CCF (non-licensee collection site)</t>
  </si>
  <si>
    <t>26.168(h)(2): BPTS supplier provides expiration date on each BPTS</t>
  </si>
  <si>
    <t>26.165(b)(6) HHS lab provides quantitative test results report to the MRO on the retesting of aliquot of a single specimen or the testing of the Bottle B split specimen</t>
  </si>
  <si>
    <t>26.185(f)(2): Donor discussion with the MRO regarding an invalid test result</t>
  </si>
  <si>
    <t>26.185(h)(1): Donor discussion with the MRO regarding a substituted test result</t>
  </si>
  <si>
    <t>26.185(i)(1): Donor discussion with the MRO regarding an adulterated test result</t>
  </si>
  <si>
    <t>26.185(f)(1): HHS lab consultation with the MRO to determine if additional specimen testing should be performed at a second HHS lab for a specimen with an invalid test results</t>
  </si>
  <si>
    <t>26.185(o): HHS lab provides quantitative test results report for the testing of a specimen from a donor applying for reauthorization following a 1st positive drug test result (at MRO request)</t>
  </si>
  <si>
    <t>26.715(a): Documentation of all aspects of HHS lab testing process, not specified elsewhere in 26.715(b)</t>
  </si>
  <si>
    <t>Burden accounted for under 
26.185(e)</t>
  </si>
  <si>
    <t>Burden accounted for under 
26.185(n)</t>
  </si>
  <si>
    <t>Burden accounted for under 
26.715(b)(2)</t>
  </si>
  <si>
    <t>Burden accounted for under 
26.165(b)(1)</t>
  </si>
  <si>
    <t>Burden accounted for under 
26.115(b)</t>
  </si>
  <si>
    <t>Burden accounted for under 
26.111(b)</t>
  </si>
  <si>
    <t>Burden accounted for under 
26.61(a) and 26.63(a),(c) and (e)</t>
  </si>
  <si>
    <t>Burden of supplying DD 214 affects DOD, 
or is accounted for under 26.61(a) 
(if supplied by the applicant)</t>
  </si>
  <si>
    <t>Burden accounted for under 
26.719(b)</t>
  </si>
  <si>
    <t>No LTF conducts validity screening testing
(if any did, burden would be accounted for under 26.719(c)(3))</t>
  </si>
  <si>
    <t>Burden accounted for under 26.719(b)</t>
  </si>
  <si>
    <t>Burden accounted for under 
26.717(a) and (b)</t>
  </si>
  <si>
    <t>Burden accounted for under 
26.31(b)(1)(i)</t>
  </si>
  <si>
    <t xml:space="preserve">Burden accounted for under 
26.29(a) and (b) </t>
  </si>
  <si>
    <t xml:space="preserve">Burden accounted for under 
26.41(a) - (d), (f) and (g) </t>
  </si>
  <si>
    <t>26.153(g): Record of memorandum sent to the HHS lab explaining use of non-Federal CCF</t>
  </si>
  <si>
    <t>Burden accounted for under 
26.153(e)</t>
  </si>
  <si>
    <t>Burden accounted for under 
26.403(a) and (b)</t>
  </si>
  <si>
    <t>Burden accounted for under
 26.403(a)</t>
  </si>
  <si>
    <t>Burden accounted for under
 26.403(b)</t>
  </si>
  <si>
    <t>26.713(g): Documentation on testing for additional drugs as permitted under 26.31(d)(1), use of more stringent testing cutoff levels as permitted under 26.31(d)(3), or both</t>
  </si>
  <si>
    <t>Burden accounted for under 
26.31(d)(1)(i)(D) and (d)(1)(ii), and 
26.31(d)(3)(iii)(A) and (d)(3)(iii)(c)</t>
  </si>
  <si>
    <t>Burden accounted for under 
26.27(a)</t>
  </si>
  <si>
    <r>
      <t xml:space="preserve">Approved Clearance Values
</t>
    </r>
    <r>
      <rPr>
        <sz val="10"/>
        <rFont val="Arial"/>
        <family val="2"/>
      </rPr>
      <t>(ICR 202103-3150-003, approved 09/29/2021)</t>
    </r>
  </si>
  <si>
    <r>
      <t>Approved Clearance Values</t>
    </r>
    <r>
      <rPr>
        <sz val="10"/>
        <rFont val="Arial"/>
        <family val="2"/>
      </rPr>
      <t xml:space="preserve">
(ICR 202103-3150-003, approved 09/29/2021)</t>
    </r>
  </si>
  <si>
    <t>Average
2019-2021</t>
  </si>
  <si>
    <r>
      <rPr>
        <sz val="10"/>
        <rFont val="Arial"/>
        <family val="2"/>
      </rPr>
      <t xml:space="preserve">Palisades </t>
    </r>
    <r>
      <rPr>
        <sz val="10"/>
        <color rgb="FFFF0000"/>
        <rFont val="Arial"/>
        <family val="2"/>
      </rPr>
      <t>(shutdown 05/20/2022)</t>
    </r>
  </si>
  <si>
    <t>SMR-4 New</t>
  </si>
  <si>
    <t>Facility (Subpart K - reactor construction)</t>
  </si>
  <si>
    <t>&lt;&lt;&lt; NRC-approved ownership transfer on October 30, 2023 to Constellation - no change in program mgmt at this time)</t>
  </si>
  <si>
    <t>Energy Harbor aquired by Vistra in 2023
(no change in program management at this time)</t>
  </si>
  <si>
    <t>Category I Special Nuclear Material (SNM) Facilities</t>
  </si>
  <si>
    <t>X-energy</t>
  </si>
  <si>
    <t xml:space="preserve">TerraPower </t>
  </si>
  <si>
    <t>Clinch River (TVA)</t>
  </si>
  <si>
    <t>Holtec</t>
  </si>
  <si>
    <t>SMR</t>
  </si>
  <si>
    <t>Paul Harris provided to BZ on 11/16/2023 (email to Leslie Hill, Kristen Benney, Scott Tonsfeldt)</t>
  </si>
  <si>
    <t>SMR (Wyoming)</t>
  </si>
  <si>
    <t>SMR (Tennessee)</t>
  </si>
  <si>
    <t>SMR (Texas)</t>
  </si>
  <si>
    <t>&lt;&lt; Average was 128 in previous clearance (98 in 2016, 133 in 2017; 152 in 2018)</t>
  </si>
  <si>
    <t>Number of Subversion Attempts FFD D&amp;A Testing Programs (2019-202)</t>
  </si>
  <si>
    <t>FFD program performance data (2019-2021)</t>
  </si>
  <si>
    <t>Number of Reportable Events per Year (average 2019-2021)</t>
  </si>
  <si>
    <t>Vogtle Units 1, 2, and 3</t>
  </si>
  <si>
    <t>Average Results (2019-2021)</t>
  </si>
  <si>
    <t>Vogtle 1,2, &amp; 3 - 2021</t>
  </si>
  <si>
    <r>
      <t xml:space="preserve">All Sites </t>
    </r>
    <r>
      <rPr>
        <sz val="10"/>
        <color rgb="FFFF0000"/>
        <rFont val="Arial"/>
        <family val="2"/>
      </rPr>
      <t>(with modeled ops #s for Vogtle 4)</t>
    </r>
  </si>
  <si>
    <t>Burden accounted for in
26.31(d)(3)(iii)(A) and (d)(3)(iii)(C)</t>
  </si>
  <si>
    <t>26.165(b)(6): MRO reviews HHS lab results on the retesting of an aliquot of a single specimen or testing of the Bottle B split specimen, informs the donor of the results, and notifies FFD management</t>
  </si>
  <si>
    <t>26.717(a) and (b): Collect FFD performance data for D&amp;A testing programs</t>
  </si>
  <si>
    <t>Total 
Annual Burden 
Hours</t>
  </si>
  <si>
    <t>Total 
Annual 
Burden 
Hours</t>
  </si>
  <si>
    <t>Number of Respond-
ents</t>
  </si>
  <si>
    <t>Burden Hours 
per Record-keeper
(Annualized)</t>
  </si>
  <si>
    <t>Number 
of Record-
keepers</t>
  </si>
  <si>
    <t>Table 1: One Time Recordkeeping</t>
  </si>
  <si>
    <t>Total 
Burden 
Hours
(Annualized)</t>
  </si>
  <si>
    <t>Table 2: Annual Recordkeeping</t>
  </si>
  <si>
    <t>Table 3: Annual Reporting</t>
  </si>
  <si>
    <r>
      <rPr>
        <u/>
        <sz val="10"/>
        <color rgb="FF000000"/>
        <rFont val="Arial"/>
        <family val="2"/>
      </rPr>
      <t>Number of Respondents</t>
    </r>
    <r>
      <rPr>
        <sz val="10"/>
        <color rgb="FF000000"/>
        <rFont val="Arial"/>
        <family val="2"/>
      </rPr>
      <t xml:space="preserve"> - 26.717 (Fatigue Management). Annually, an average of 52 operating nuclear power reactor sites will submit an FFD program performance report on fatigue management (NRC Form 892) to the NRC. The number of operating reactor sites will decrease from 54 in the first year of the clearance period, to 51 in the second and third years of the clearance period (i.e., the average number of operating reactor sites per year for this clearance period is 52). The reporting burden to develop the content for the fatigue management reports is presented in section 26.203(e)(1) and (e)(2).  This line item only pertains to the burden hours to produce the report and submit it to the NRC. 
</t>
    </r>
    <r>
      <rPr>
        <u/>
        <sz val="10"/>
        <color rgb="FFFF0000"/>
        <rFont val="Arial"/>
        <family val="2"/>
      </rPr>
      <t>NRC internal note</t>
    </r>
    <r>
      <rPr>
        <sz val="10"/>
        <color rgb="FFFF0000"/>
        <rFont val="Arial"/>
        <family val="2"/>
      </rPr>
      <t xml:space="preserve">: 
Final package change # of respondents (3 sites DECON in yr 1 so (54+51+51 sites) / 3 yrs = 52 sites/yr)
</t>
    </r>
  </si>
  <si>
    <r>
      <rPr>
        <u/>
        <sz val="10"/>
        <color rgb="FF000000"/>
        <rFont val="Arial"/>
        <family val="2"/>
      </rPr>
      <t>Number of Respondents</t>
    </r>
    <r>
      <rPr>
        <sz val="10"/>
        <color rgb="FF000000"/>
        <rFont val="Arial"/>
        <family val="2"/>
      </rPr>
      <t xml:space="preserve"> - 26.717 (D&amp;A testing). Annually, an average of 60 sites (54 operating nuclear power reactor sites in the first year of the clearance period and 51 sites in years two and three of the clearance period due to three sites permanently ceasing operations; 2 fuel cycle facilities, 5 corporate FFD programs, and 1 C/V) each submit annual FFD program performance report information on D&amp;A test results (NRC Forms 890 and 891) to the NRC.
</t>
    </r>
    <r>
      <rPr>
        <u/>
        <sz val="10"/>
        <color rgb="FFFF0000"/>
        <rFont val="Arial"/>
        <family val="2"/>
      </rPr>
      <t>NRC internal note:</t>
    </r>
    <r>
      <rPr>
        <sz val="10"/>
        <color rgb="FFFF0000"/>
        <rFont val="Arial"/>
        <family val="2"/>
      </rPr>
      <t xml:space="preserve"> 
Final package change # of recordkeepers form 62 to 60 due to 3 operating reactor sites DECON in yr 1 so 62+59+59 sites /3 years = 60 sites/year
</t>
    </r>
  </si>
  <si>
    <t>Table 4: Annual Third-Party Disclosure</t>
  </si>
  <si>
    <r>
      <t xml:space="preserve">Crystal River </t>
    </r>
    <r>
      <rPr>
        <sz val="10"/>
        <color rgb="FFFF0000"/>
        <rFont val="Arial"/>
        <family val="2"/>
      </rPr>
      <t>(ISFSI only site at some point in 2022)</t>
    </r>
  </si>
  <si>
    <t>DECON Sites (not subject to Part 26)</t>
  </si>
  <si>
    <t>26.155(a)(1), (a)(3) - (a)(5); (b),(c), (e), and (f): 
Confirm HHS lab personnel qualifications and procedures place pursuant to HHS lab certification also meet Part 26 requirements (new HHS lab)</t>
  </si>
  <si>
    <t>Deleted in 2022 Part 26 Final Rule</t>
  </si>
  <si>
    <t>26.159(a), (c), (e), (f): Confirm HHS lab procedures for specimen security, chain of custody, and preservation in place pursuant to HHS lab certification requirements also meet Part 26 requirements (new HHS lab)</t>
  </si>
  <si>
    <r>
      <rPr>
        <sz val="10"/>
        <rFont val="Arial"/>
        <family val="2"/>
      </rPr>
      <t>Vermont Yankee</t>
    </r>
    <r>
      <rPr>
        <sz val="10"/>
        <color rgb="FFFF0000"/>
        <rFont val="Arial"/>
        <family val="2"/>
      </rPr>
      <t xml:space="preserve"> (2014 last FFD data report; all SNF in dry storage 08/01/2018)</t>
    </r>
  </si>
  <si>
    <r>
      <t xml:space="preserve">San Onofre </t>
    </r>
    <r>
      <rPr>
        <sz val="10"/>
        <color rgb="FFFF0000"/>
        <rFont val="Arial"/>
        <family val="2"/>
      </rPr>
      <t>(2020 last FFD data report; all SNF in dry storage 08/06/2020)</t>
    </r>
  </si>
  <si>
    <r>
      <t xml:space="preserve">San Onofre </t>
    </r>
    <r>
      <rPr>
        <sz val="10"/>
        <color rgb="FFFF0000"/>
        <rFont val="Arial"/>
        <family val="2"/>
      </rPr>
      <t>(2020 last FFD data report; all SNF dry storage 08/06/2020)</t>
    </r>
  </si>
  <si>
    <r>
      <t xml:space="preserve">Duane Arnold </t>
    </r>
    <r>
      <rPr>
        <sz val="10"/>
        <color rgb="FFFF0000"/>
        <rFont val="Arial"/>
        <family val="2"/>
      </rPr>
      <t>(shutdown: 08/10/2020; all SNF dry storage 05/04/2022)</t>
    </r>
  </si>
  <si>
    <r>
      <t xml:space="preserve">Fort Calhoun (2016 last FFD data report; </t>
    </r>
    <r>
      <rPr>
        <sz val="10"/>
        <color rgb="FFFF0000"/>
        <rFont val="Arial"/>
        <family val="2"/>
      </rPr>
      <t>all SNF dry storage 05/13/2020)</t>
    </r>
  </si>
  <si>
    <r>
      <rPr>
        <sz val="10"/>
        <rFont val="Arial"/>
        <family val="2"/>
      </rPr>
      <t>Vermont Yankee</t>
    </r>
    <r>
      <rPr>
        <sz val="10"/>
        <color rgb="FFFF0000"/>
        <rFont val="Arial"/>
        <family val="2"/>
      </rPr>
      <t xml:space="preserve"> (2014 last FFD data report; all SNF dry storage 08/01/2018)</t>
    </r>
  </si>
  <si>
    <r>
      <t xml:space="preserve">Three Mile Island </t>
    </r>
    <r>
      <rPr>
        <sz val="10"/>
        <color rgb="FFFF0000"/>
        <rFont val="Arial"/>
        <family val="2"/>
      </rPr>
      <t>(shutdown 09/26/2019)</t>
    </r>
  </si>
  <si>
    <r>
      <t xml:space="preserve">Indian Point </t>
    </r>
    <r>
      <rPr>
        <sz val="10"/>
        <color rgb="FFFF0000"/>
        <rFont val="Arial"/>
        <family val="2"/>
      </rPr>
      <t>(shutdown: Unit 2: 04/30/2020; Unit 3: 04/30/2021)</t>
    </r>
  </si>
  <si>
    <r>
      <t xml:space="preserve">Duane Arnold </t>
    </r>
    <r>
      <rPr>
        <sz val="10"/>
        <color rgb="FFFF0000"/>
        <rFont val="Arial"/>
        <family val="2"/>
      </rPr>
      <t>(shutdown 08/10/2020; all SNF dry storage 05/04/2022)</t>
    </r>
  </si>
  <si>
    <r>
      <t xml:space="preserve">Oyster Creek </t>
    </r>
    <r>
      <rPr>
        <sz val="10"/>
        <color rgb="FFFF0000"/>
        <rFont val="Arial"/>
        <family val="2"/>
      </rPr>
      <t>(No FFD data submitted 2019 or 2020, did submit for 2021)</t>
    </r>
  </si>
  <si>
    <t>V.C. Summer 2 &amp; 3 (Year 2 construction -  2012)</t>
  </si>
  <si>
    <t>V.C. Summer 2 &amp; 3 (Year 1 construction -  2011)</t>
  </si>
  <si>
    <t>Vogtle 3 &amp; 4 (Year 1 construction -  2009)</t>
  </si>
  <si>
    <t>Vogtle 3 &amp; 4 (Year 2 construction -  2010)</t>
  </si>
  <si>
    <t>DECOMMISSIONING</t>
  </si>
  <si>
    <t>26.717: Annual FFD program performance report information (fatigue management programs)</t>
  </si>
  <si>
    <r>
      <t>26.717</t>
    </r>
    <r>
      <rPr>
        <sz val="10"/>
        <rFont val="Arial"/>
        <family val="2"/>
      </rPr>
      <t>: Annual FFD program performance report information (D&amp;A testing</t>
    </r>
    <r>
      <rPr>
        <sz val="10"/>
        <color theme="1"/>
        <rFont val="Arial"/>
        <family val="2"/>
      </rPr>
      <t xml:space="preserve"> programs)</t>
    </r>
  </si>
  <si>
    <r>
      <rPr>
        <u/>
        <sz val="10"/>
        <rFont val="Arial"/>
        <family val="2"/>
      </rPr>
      <t xml:space="preserve">Number of Respondents </t>
    </r>
    <r>
      <rPr>
        <sz val="10"/>
        <rFont val="Arial"/>
        <family val="2"/>
      </rPr>
      <t>- 26.719(c)(1). NRC estimates that licensee and other entities will submit 4 reports per year under 26.719(c)(1). This value is the average number of 26.719(c)(1) reports received from CY 2019 through CY 2021 (5 reports in 2019, 4 reports in 2020, 4 reports in 2021). The previous clearance estimated 6 reports year.</t>
    </r>
  </si>
  <si>
    <t>2022 Final Rule (Deleted)</t>
  </si>
  <si>
    <t>2022 Final Rule (Updated)</t>
  </si>
  <si>
    <r>
      <rPr>
        <b/>
        <sz val="10"/>
        <color theme="1"/>
        <rFont val="Arial"/>
        <family val="2"/>
      </rPr>
      <t>Index Key:</t>
    </r>
    <r>
      <rPr>
        <sz val="10"/>
        <color theme="1"/>
        <rFont val="Arial"/>
        <family val="2"/>
      </rPr>
      <t xml:space="preserve">
- Updated
- Duplicative
- Consolidated
- 2022 Rule
</t>
    </r>
  </si>
  <si>
    <t>Hide</t>
  </si>
  <si>
    <t>Notes</t>
  </si>
  <si>
    <t>26.403(a): Develop FFD policy statement 
(new reactor construction site D&amp;A testing program)</t>
  </si>
  <si>
    <t>26.403(b): Develop written FFD procedures 
(new reactor construction site D&amp;A testing program)</t>
  </si>
  <si>
    <t>26.411(a): Develop procedures for maintaining a system of files to protect personal information collected under Subpart K of Part 26 (new reactor construction site D&amp;A testing program)</t>
  </si>
  <si>
    <t>26.407: Develop procedures for behavioral observation 
(new reactor construction site D&amp;A testing program)</t>
  </si>
  <si>
    <t>26.9: Application to NRC for exemption (D&amp;A testing program)</t>
  </si>
  <si>
    <t>26.9: Application to NRC for exemption (Fatigue management program)</t>
  </si>
  <si>
    <t>26.157(a): Confirm HHS lab procedures specific to Part 26 in place that document the accession, receipt, shipment, and testing of specimens (new HHS lab)</t>
  </si>
  <si>
    <t>26.413: Develop procedures for the review of a determination that an individual violated the FFD policy
 (new reactor construction site D&amp;A testing program)</t>
  </si>
  <si>
    <r>
      <rPr>
        <u/>
        <sz val="10"/>
        <color theme="1"/>
        <rFont val="Arial"/>
        <family val="2"/>
      </rPr>
      <t>Number of Respondents</t>
    </r>
    <r>
      <rPr>
        <sz val="10"/>
        <color theme="1"/>
        <rFont val="Arial"/>
        <family val="2"/>
      </rPr>
      <t xml:space="preserve"> - 26.719(b). NRC estimates that licensee and other entities will submit 30 reports per year under 26.719(b). This value is the average number of 26.719(b) reports received from CY 2019 through CY 2021 (31 reports in 2019, 29 reports in 2020, 30 reports in 2021). The previous clearance estimated 36 reports per year.</t>
    </r>
  </si>
  <si>
    <t>Summary of Estimated Burden Hours and Costs (2024-2027)</t>
  </si>
  <si>
    <r>
      <t>Vogtle 3&amp;4 (</t>
    </r>
    <r>
      <rPr>
        <sz val="10"/>
        <color rgb="FFFF0000"/>
        <rFont val="Arial"/>
        <family val="2"/>
      </rPr>
      <t>extrapolated as operating sites, used Vogtle 1&amp;2 values 2019</t>
    </r>
    <r>
      <rPr>
        <sz val="10"/>
        <color theme="1"/>
        <rFont val="Arial"/>
        <family val="2"/>
      </rPr>
      <t>)</t>
    </r>
  </si>
  <si>
    <r>
      <t>Vogtle 3&amp;4 (</t>
    </r>
    <r>
      <rPr>
        <sz val="10"/>
        <color rgb="FFFF0000"/>
        <rFont val="Arial"/>
        <family val="2"/>
      </rPr>
      <t>extrapolated as operating sites, used Vogtle 1&amp;2 values 2020</t>
    </r>
    <r>
      <rPr>
        <sz val="10"/>
        <color theme="1"/>
        <rFont val="Arial"/>
        <family val="2"/>
      </rPr>
      <t>)</t>
    </r>
  </si>
  <si>
    <t>Construction sites (only Vogtle 3&amp;4)</t>
  </si>
  <si>
    <t>Didn't use 1st year of construction date b/c partial years &amp; very low test results (including for transparency)</t>
  </si>
  <si>
    <t>Burden accounted for under 
26.183(d)(2)(i)</t>
  </si>
  <si>
    <r>
      <rPr>
        <b/>
        <sz val="10"/>
        <color theme="1"/>
        <rFont val="Arial"/>
        <family val="2"/>
      </rPr>
      <t>Index Key:</t>
    </r>
    <r>
      <rPr>
        <sz val="10"/>
        <color theme="1"/>
        <rFont val="Arial"/>
        <family val="2"/>
      </rPr>
      <t xml:space="preserve">
- Updated
- Duplicative
- Consolidated
- 2022 Final Rule
</t>
    </r>
  </si>
  <si>
    <t>2022 Final Rule
(Description Update)</t>
  </si>
  <si>
    <t>26.405(c)(4): Records of followup D&amp;A tests</t>
  </si>
  <si>
    <t>&lt;&lt; Changed from $279 to $300 (increase of 7.5%)</t>
  </si>
  <si>
    <r>
      <t xml:space="preserve">D&amp;A Prgm:  FFD program performance data (average of </t>
    </r>
    <r>
      <rPr>
        <sz val="10"/>
        <color rgb="FFFF0000"/>
        <rFont val="Arial"/>
        <family val="2"/>
      </rPr>
      <t>2019-2021</t>
    </r>
    <r>
      <rPr>
        <sz val="10"/>
        <color theme="1"/>
        <rFont val="Arial"/>
        <family val="2"/>
      </rPr>
      <t xml:space="preserve">)
</t>
    </r>
    <r>
      <rPr>
        <sz val="10"/>
        <color rgb="FFFF0000"/>
        <rFont val="Arial"/>
        <family val="2"/>
      </rPr>
      <t>Construction (SMRs): FFD program performance data 
(modeled using Vogtle 3&amp;4; V.C. Summer 2&amp;3 second year of ops data)</t>
    </r>
  </si>
  <si>
    <r>
      <t xml:space="preserve">Number of </t>
    </r>
    <r>
      <rPr>
        <u/>
        <sz val="10"/>
        <color theme="1"/>
        <rFont val="Arial"/>
        <family val="2"/>
      </rPr>
      <t>drug only positive</t>
    </r>
    <r>
      <rPr>
        <sz val="10"/>
        <color theme="1"/>
        <rFont val="Arial"/>
        <family val="2"/>
      </rPr>
      <t>, adulterated, substituted, and refusal to test results (</t>
    </r>
    <r>
      <rPr>
        <sz val="10"/>
        <color rgb="FFFF0000"/>
        <rFont val="Arial"/>
        <family val="2"/>
      </rPr>
      <t>includes estimated increases in detection from the 2022 Part 26 final rule</t>
    </r>
    <r>
      <rPr>
        <sz val="10"/>
        <color theme="1"/>
        <rFont val="Arial"/>
        <family val="2"/>
      </rPr>
      <t>)</t>
    </r>
  </si>
  <si>
    <t>&lt;&lt;Changed from 5 to 4 (TVA eliminated its corporate program &amp; incorporated personnel from the corporate program into the Browns Ferry &amp; Sequoyah site FFD programs on 09/01/2022)</t>
  </si>
  <si>
    <t>Individuals subject to a Random D&amp;A testing program</t>
  </si>
  <si>
    <t>Vogtle Units 1 and 2</t>
  </si>
  <si>
    <r>
      <rPr>
        <b/>
        <sz val="10"/>
        <color rgb="FF000000"/>
        <rFont val="Arial"/>
        <family val="2"/>
      </rPr>
      <t>Extrapolated values Vogtle 3&amp;4 (operating)</t>
    </r>
    <r>
      <rPr>
        <sz val="10"/>
        <color indexed="8"/>
        <rFont val="Arial"/>
        <family val="2"/>
      </rPr>
      <t xml:space="preserve"> 
(model based on Vogttl 1 &amp; 2 values in 2019 &amp; 2020 and Vogtle 1-3 in 2021)</t>
    </r>
  </si>
  <si>
    <t>&lt;&lt; Site 1st reported FFD data for Vogtle 1-3 in CY 2021</t>
  </si>
  <si>
    <t>All Sites + (extrapolated operating Vogtle 3&amp;4)</t>
  </si>
  <si>
    <t xml:space="preserve">All Sites + Vogtle 3&amp;4 operating (w/o Construction &amp; DECON) </t>
  </si>
  <si>
    <t>&lt;&lt; For 2021, divided Vogtle 1,2,3 by 3 and then multipled it back by 2 to get Vogtle 1&amp;2 values for 2021</t>
  </si>
  <si>
    <t>&lt;&lt;Vogtle 1,2,3 in operating totals for 2021</t>
  </si>
  <si>
    <r>
      <rPr>
        <sz val="10"/>
        <rFont val="Arial"/>
        <family val="2"/>
      </rPr>
      <t xml:space="preserve">Vogtle 4 </t>
    </r>
    <r>
      <rPr>
        <sz val="10"/>
        <color rgb="FFFF0000"/>
        <rFont val="Arial"/>
        <family val="2"/>
      </rPr>
      <t>(extrapolated operating value, used Vogtle 1,2,3 values in 2021)
(divided Vogtle 1,2,3  by 3 to get per reactor value &amp; used it for Vogtle 4)</t>
    </r>
  </si>
  <si>
    <r>
      <t xml:space="preserve">Vogtle 1 &amp; 2 </t>
    </r>
    <r>
      <rPr>
        <sz val="10"/>
        <color rgb="FFFF0000"/>
        <rFont val="Arial"/>
        <family val="2"/>
      </rPr>
      <t xml:space="preserve">(use to extrapolate operating estimates Units 3&amp;4 in 2019 &amp; 2020)
</t>
    </r>
    <r>
      <rPr>
        <b/>
        <sz val="10"/>
        <color rgb="FFFF0000"/>
        <rFont val="Arial"/>
        <family val="2"/>
      </rPr>
      <t>Vogtle 1,2,3</t>
    </r>
    <r>
      <rPr>
        <sz val="10"/>
        <color rgb="FFFF0000"/>
        <rFont val="Arial"/>
        <family val="2"/>
      </rPr>
      <t xml:space="preserve"> (used to extrapolate operating estimate Unit 4 in 2021)</t>
    </r>
  </si>
  <si>
    <r>
      <t xml:space="preserve">Modeling for new SMR construction testing (year 1 = 3rd yr clearance)
</t>
    </r>
    <r>
      <rPr>
        <sz val="11"/>
        <color rgb="FFFF0000"/>
        <rFont val="Arial"/>
        <family val="2"/>
      </rPr>
      <t>(use V.C. Summer 2 &amp; 3, and Vogtle 3&amp;4 2nd year of construction)</t>
    </r>
  </si>
  <si>
    <t>Divide by 2 to give per unit estimate</t>
  </si>
  <si>
    <t>Average Divided by 2 = Per Reactor Unit</t>
  </si>
  <si>
    <r>
      <t xml:space="preserve">Modeling for new SMR Construction Average Worker Population Subject to Random Testing (year 1 = 3rd yr clearance)
</t>
    </r>
    <r>
      <rPr>
        <sz val="10"/>
        <color rgb="FFFF0000"/>
        <rFont val="Arial"/>
        <family val="2"/>
      </rPr>
      <t>(use V.C. Summer 2 &amp; 3, and Vogtle 3&amp;4 2nd year of construction)</t>
    </r>
  </si>
  <si>
    <t>&lt;&lt;Changed from 3 to 0 (Columbia: 1 LTF stopped 07/31/22; Dominion: 2 LTFs stopped 9/30/23)</t>
  </si>
  <si>
    <r>
      <t>FFD program performance data (</t>
    </r>
    <r>
      <rPr>
        <sz val="10"/>
        <color rgb="FFFF0000"/>
        <rFont val="Arial"/>
        <family val="2"/>
      </rPr>
      <t>2022</t>
    </r>
    <r>
      <rPr>
        <sz val="10"/>
        <color theme="1"/>
        <rFont val="Arial"/>
        <family val="2"/>
      </rPr>
      <t>)</t>
    </r>
  </si>
  <si>
    <r>
      <t>Excludes 11 decommissioning sites (Crystal River,</t>
    </r>
    <r>
      <rPr>
        <sz val="10"/>
        <color theme="1"/>
        <rFont val="Arial"/>
        <family val="2"/>
      </rPr>
      <t xml:space="preserve"> Duane Arnold</t>
    </r>
    <r>
      <rPr>
        <sz val="10"/>
        <rFont val="Arial"/>
        <family val="2"/>
      </rPr>
      <t xml:space="preserve">, Fort Calhoun, </t>
    </r>
    <r>
      <rPr>
        <sz val="10"/>
        <color theme="1"/>
        <rFont val="Arial"/>
        <family val="2"/>
      </rPr>
      <t>Indian Point, Kewaunee, Oyster Creek</t>
    </r>
    <r>
      <rPr>
        <sz val="10"/>
        <rFont val="Arial"/>
        <family val="2"/>
      </rPr>
      <t xml:space="preserve">, Palisades, </t>
    </r>
    <r>
      <rPr>
        <sz val="10"/>
        <color theme="1"/>
        <rFont val="Arial"/>
        <family val="2"/>
      </rPr>
      <t xml:space="preserve">Pilgrim, San Onofre, Three Mile Island, and Vermont Yankee). </t>
    </r>
  </si>
  <si>
    <r>
      <t xml:space="preserve">FFD program performance data (average of </t>
    </r>
    <r>
      <rPr>
        <sz val="10"/>
        <color rgb="FFFF0000"/>
        <rFont val="Arial"/>
        <family val="2"/>
      </rPr>
      <t>2019-2021</t>
    </r>
    <r>
      <rPr>
        <sz val="10"/>
        <color theme="1"/>
        <rFont val="Arial"/>
        <family val="2"/>
      </rPr>
      <t xml:space="preserve">)
</t>
    </r>
    <r>
      <rPr>
        <sz val="10"/>
        <color rgb="FFFF0000"/>
        <rFont val="Arial"/>
        <family val="2"/>
      </rPr>
      <t>Construction (SMRs) FFD program performance data 
(modeled using Vogtle 3&amp;4; V.C. Summer 2&amp;3 second year of ops data)</t>
    </r>
  </si>
  <si>
    <r>
      <t>FFD program performance data (</t>
    </r>
    <r>
      <rPr>
        <sz val="10"/>
        <color rgb="FFFF0000"/>
        <rFont val="Arial"/>
        <family val="2"/>
      </rPr>
      <t>2019-2021</t>
    </r>
    <r>
      <rPr>
        <sz val="10"/>
        <rFont val="Arial"/>
        <family val="2"/>
      </rPr>
      <t>)</t>
    </r>
  </si>
  <si>
    <r>
      <t xml:space="preserve">Revision of Fee Schedules; Fee Recovery for Fiscal Year </t>
    </r>
    <r>
      <rPr>
        <sz val="10"/>
        <color rgb="FFFF0000"/>
        <rFont val="Arial"/>
        <family val="2"/>
      </rPr>
      <t xml:space="preserve">2023 </t>
    </r>
    <r>
      <rPr>
        <sz val="10"/>
        <color theme="1"/>
        <rFont val="Arial"/>
        <family val="2"/>
      </rPr>
      <t xml:space="preserve">
</t>
    </r>
    <r>
      <rPr>
        <sz val="10"/>
        <color rgb="FFFF0000"/>
        <rFont val="Arial"/>
        <family val="2"/>
      </rPr>
      <t>(88 FR 39120, June 15, 2023); effective August 14, 2023.</t>
    </r>
  </si>
  <si>
    <t xml:space="preserve">Percentage increase in non-alcohol positive results due to the 2022 Part 26 final rule changes </t>
  </si>
  <si>
    <t>26.713(a)(1): Records of self-disclosures, employment histories, and suitable inquiries (under 26.55, 26.57, 26.59, and 26.69) that result in the granting of authorization</t>
  </si>
  <si>
    <t>Estimated percentage increase in drug testing positives &amp; subversion attempts, Regulatory Analysis (ML22133A044, November 2022)</t>
  </si>
  <si>
    <t>26.119(a), (e), and (f): Written evaluation from the physician who performed a medical evaluation of a donor with a shy bladder (i.e., unable to provide a specimen of adequate volume in the allotted 3-hours)</t>
  </si>
  <si>
    <t>Burden 
Hours per 
Record-
keeper</t>
  </si>
  <si>
    <t>Operating Sites (Alcohol only Results)</t>
  </si>
  <si>
    <t>Construction Sites (Alcohol only Results)</t>
  </si>
  <si>
    <t>DECOMMISSIONING (Alcohol only Results)</t>
  </si>
  <si>
    <t>Total Alcohol Only Results (all sites)</t>
  </si>
  <si>
    <t>Alcohol Only Test Results - Needed for Extrapolating Drug Testing Increases from 2022 Part 26 final rule (from pivot table of SPTF data)</t>
  </si>
  <si>
    <t>Average 2019-2021</t>
  </si>
  <si>
    <r>
      <t xml:space="preserve">D&amp;A Prgm:  FFD program performance data (average of 2019-2021)
</t>
    </r>
    <r>
      <rPr>
        <sz val="10"/>
        <color rgb="FFFF0000"/>
        <rFont val="Arial"/>
        <family val="2"/>
      </rPr>
      <t>Construction (SMRs): FFD program performance data 
(modeled using Vogtle 3&amp;4; V.C. Summer 2&amp;3 second year of ops data)</t>
    </r>
  </si>
  <si>
    <t xml:space="preserve">26.37(b)(1): Record of signed consent from an individual to disclose information on an FFD matter that was collected under Part 26 to the individual’s representative </t>
  </si>
  <si>
    <t>Alcohol Only Test Results - utilize for new SMR reactors (Vogtle 3&amp;4 (2010) and V.C. Summer 2&amp;3 (2012))</t>
  </si>
  <si>
    <t>Total Individuals Alcohol Only testing violations (all Test Types)</t>
  </si>
  <si>
    <t>Divided by 2 = per reactor</t>
  </si>
  <si>
    <t>Total Annual
Burden 
Hours</t>
  </si>
  <si>
    <t>Number of 
Responses</t>
  </si>
  <si>
    <t>Number of Responses</t>
  </si>
  <si>
    <t>26.165(b)(4): Donor provides documentation to the MRO on the reason for the inability to make a timely retest request</t>
  </si>
  <si>
    <t>26.169(h): HHS lab prepares and submits annual statistical summary report of testing results</t>
  </si>
  <si>
    <t>26.185(k): Record of MRO report to licensee that no FFD policy violation has occurred (i.e., legitimate prescription medication used in a manner and at the dosage prescribed). If the individual poses a potential risk to public health and safety because of impairment while on duty – the MRO will ensure that a determination of fitness is performed)</t>
  </si>
  <si>
    <t>26.715(b)(7): LTF performance testing records</t>
  </si>
  <si>
    <t>26.713(a)(4): Records of determinations of fitness performed under 26.189 (including recommendations for treatment and followup testing plans)</t>
  </si>
  <si>
    <t>26.713(c): Records on 5-year and permanent denials of authorization</t>
  </si>
  <si>
    <t>26.715(b)(6): LTF test reports</t>
  </si>
  <si>
    <t>Number of Responses - 26.209(a). The NRC staff reduced the number of estimated responses per year from 21 (i.e., one per fatigue program) in the prior clearance to 10 per year. The NRC staff also increased the burden hours per response from 0.25 hours to 0.5 hours.
NRC internal note: NRR technical staff position is that self reports on fatigue are rare occurrences and slightly revised the estimate accordingly.</t>
  </si>
  <si>
    <t xml:space="preserve">26.9: Review exemption request (Fatigue management program) </t>
  </si>
  <si>
    <t xml:space="preserve">26.77(c): Review and evaluate report made on an NRC employee or contractor being unfit for duty </t>
  </si>
  <si>
    <t>26.417(b)(2): Annual FFD program performance report – 
Review, analyze, and summarize information 
(reactor construction site D&amp;A testing programs)</t>
  </si>
  <si>
    <t>26.717: Annual FFD program performance report – 
Review, analyze, and summarize information 
(D&amp;A testing programs)</t>
  </si>
  <si>
    <t>26.717: Annual fatigue management performance report –  Review, analyze, and summarize fatigue management data specified in 26.203(e)</t>
  </si>
  <si>
    <t>26.9: Review exemption request (D&amp;A testing program)</t>
  </si>
  <si>
    <t>No. Actions/
Year</t>
  </si>
  <si>
    <t>26.27(d): Review FFD policies and procedures (performed during periodic NRC inspections)</t>
  </si>
  <si>
    <t>26.417(b)(1): Review and evaluate 24-hour report to the NRC Operations Center on a significant FFD program failure, degradation, or vulnerability (reactor construction site D&amp;A testing programs)</t>
  </si>
  <si>
    <t>26.187(f): Review documentation provided by SAE 
(upon request by the NRC)</t>
  </si>
  <si>
    <t>26.719(b): 24-hour report  – Review, evaluate, and respond to a report made to the NRC Operations Center on a significant FFD policy violation or programmatic failure</t>
  </si>
  <si>
    <t>26.719(c): 30-day report – Review, evaluate, and respond to a report made to the NRC detailing the investigation of any testing errors or unsatisfactory performance discovered at an LTF or HHS lab</t>
  </si>
  <si>
    <t xml:space="preserve">26.715(b)(1): Retain HHS lab staff personnel files </t>
  </si>
  <si>
    <t>26.715(b)(5): Retain all test data from HHS lab (including calibration curves and any calculations used in determining test results)</t>
  </si>
  <si>
    <t>26.719(c): HHS lab provides information to the licensee or other entity detailing the results of an investigation on a testing error (information for 30-day event report to NRC)</t>
  </si>
  <si>
    <t>26.29(b): Complete initial training on FFD policy and take comprehensive examination</t>
  </si>
  <si>
    <t>26.29(c)(2): Complete annual refresher training on FFD policy</t>
  </si>
  <si>
    <t>26.719(c)(3): Notify the NRC by telephone within 24 hours of receiving a false negative test result on a QA check of a validity screening test (only applies to LTFs)</t>
  </si>
  <si>
    <t>26.717(c): Analyze D&amp;A testing program FFD performance data annually</t>
  </si>
  <si>
    <t>26.417(b)(2): Prepare annual FFD program performance report (reactor construction site D&amp;A testing program)</t>
  </si>
  <si>
    <t>26.65(f): Authorization reinstatement after an interruption – record of administrative withdrawal of authorization under 26.65(d)(1)(ii) or 26.65(e)(2)(iii)(B)</t>
  </si>
  <si>
    <t>26.69(b) and (c)(1): Authorization following a 1st or 2nd positive drug or alcohol test result, or if other potentially disqualifying information (PDI) is identified – obtain, review, and retain an applicant’s self-disclosure and employment history</t>
  </si>
  <si>
    <t>26.69(c)(4): Record that an SAE conducted a determination of fitness and concluded that an applicant with PDI is fit to safely and competently perform duties (i.e., evaluated clinically appropriate treatment and followup testing plans were developed by an SAE – for an applicant with a prior 1st positive result; ensured treatment recommendations and followup testing from an SAE’s determination of fitness are initiated – for an applicant with a prior 2nd positive result; or verified the applicant is in compliance with and successfully completed any followup testing and treatment plans)</t>
  </si>
  <si>
    <t>26.37(b): Individual provides signed consent to release information collected and maintained under Part 26 by a D&amp;A testing program</t>
  </si>
  <si>
    <t>26.37(c): Record of signed release from an individual to disclose personal information collected under Part 26 to other licensees or other entities</t>
  </si>
  <si>
    <t>26.127 (a) – (e): Maintain LTF written procedures on the handling of specimens, chain-of-custody procedures, testing assays, instrument and device setup, and remedial actions for systems and testing devices</t>
  </si>
  <si>
    <r>
      <t xml:space="preserve">26.165(b)(1): At the direction of the MRO, the initial HHS lab that conducted testing sends a donor’s specimen (i.e., aliquot of a single specimen </t>
    </r>
    <r>
      <rPr>
        <u/>
        <sz val="10"/>
        <rFont val="Arial"/>
        <family val="2"/>
      </rPr>
      <t>or</t>
    </r>
    <r>
      <rPr>
        <sz val="10"/>
        <rFont val="Arial"/>
        <family val="2"/>
      </rPr>
      <t xml:space="preserve"> Bottle B of the split specimen) to a second HHS lab for further testing</t>
    </r>
  </si>
  <si>
    <t>Updated (reduced burden hours)</t>
  </si>
  <si>
    <t>26.185(a) Record of MRO review of a drug positive, dilute and drug positive, adulterated, substituted, or invalid HHS lab test result</t>
  </si>
  <si>
    <t>26.185(c): Record of MRO discussion with the donor about an HHS lab test result (i.e., drug positive, dilute and drug positive, adulterated, substituted, and invalid)</t>
  </si>
  <si>
    <t>26.169(a): HHS lab reports test results to the MRO of the D&amp;A testing program</t>
  </si>
  <si>
    <t>26.169(c)(2): HHS lab reports quantitative test result for positive drug tests (at MRO request)</t>
  </si>
  <si>
    <t>26.169(c)(3): HHS lab reports quantitative test result for adulterated and substituted tests (at MRO request)</t>
  </si>
  <si>
    <t>26.169(a): Records of HHS lab test result reports</t>
  </si>
  <si>
    <t>26.169(c)(1): Records of HHS lab reports for positive, adulterated, substituted, dilute, and invalid test results received by the MRO</t>
  </si>
  <si>
    <t>Not applicable 
(new requirement in 2022 Part 26 final rule)</t>
  </si>
  <si>
    <t>2022 Final Rule (updated)</t>
  </si>
  <si>
    <t>26.405(g): Record of MRO review of drug positive, adulterated, substituted, and invalid test results 
(reactor construction site D&amp;A testing program)</t>
  </si>
  <si>
    <t>26.37(b)(1): Individual provides signed consent to the licensee or other entity to disclose personal information on an FFD matter to a representative</t>
  </si>
  <si>
    <t>26.185(j): Prescription medication drug positives – records of MRO review of HHS lab result, discussion of positive result with donor, and review medication information from the donor (e.g., prescription bottle information, dispensing pharmacy, prescribing physician)</t>
  </si>
  <si>
    <t>26.185(p): Record of MRO written notice to the D&amp;A testing program of a positive, adulterated, substituted, or invalid test result</t>
  </si>
  <si>
    <t>26.27(h): Review records to ensure only appropriate records maintained by the D&amp;A testing program for administratively withdrawing access for initial positive drug tests for marijuana or cocaine (only applicable to LTFs) 
(performed during periodic NRC inspections)</t>
  </si>
  <si>
    <t>&lt;&lt;Assume 4 SMRs (each from a different company, start construction in 2027 (clearance year 3))</t>
  </si>
  <si>
    <t>&lt;&lt; Total increased because of 4 new SMR construction sites (start in 2027, year 3 of clearance)</t>
  </si>
  <si>
    <t>The 2022 Part 26 final rule renumbered the alternate collector requirements (i.e., changing from 26.85(c) to 26.85(b)). This change did not affect estimated burden.</t>
  </si>
  <si>
    <t>26.75(i): Record of temporary administrative withdrawal of an individual's authorization due to an initial positive test result for marijuana and/or cocaine (only applies to D&amp;A testing programs using LTFs)</t>
  </si>
  <si>
    <t>Duke, Constellation, Southern, and Xcel</t>
  </si>
  <si>
    <r>
      <t>D&amp;A Prgm:  FFD program performance data (</t>
    </r>
    <r>
      <rPr>
        <sz val="10"/>
        <color rgb="FFFF0000"/>
        <rFont val="Arial"/>
        <family val="2"/>
      </rPr>
      <t>average of 2019-2021</t>
    </r>
    <r>
      <rPr>
        <sz val="10"/>
        <color theme="1"/>
        <rFont val="Arial"/>
        <family val="2"/>
      </rPr>
      <t xml:space="preserve">) 
</t>
    </r>
    <r>
      <rPr>
        <sz val="10"/>
        <color rgb="FFFF0000"/>
        <rFont val="Arial"/>
        <family val="2"/>
      </rPr>
      <t>Construction (SMRs): FFD program performance data 
(modeled using Vogtle 3&amp;4; V.C. Summer 2&amp;3 second year of ops data)</t>
    </r>
    <r>
      <rPr>
        <sz val="10"/>
        <color theme="1"/>
        <rFont val="Arial"/>
        <family val="2"/>
      </rPr>
      <t xml:space="preserve">
</t>
    </r>
    <r>
      <rPr>
        <sz val="10"/>
        <color rgb="FFFF0000"/>
        <rFont val="Arial"/>
        <family val="2"/>
      </rPr>
      <t>Estimated increase in detection based on 2022 Part 26 final rule.</t>
    </r>
  </si>
  <si>
    <t>Burden accounted for under
 26.189</t>
  </si>
  <si>
    <t>26.185(f)(3): Record of information obtained from the MRO contact with the D&amp;A testing program, collection site, and/or LTF or HHS lab regarding specimen handling conditions (invalid results pH of 9.0 to 9.5)</t>
  </si>
  <si>
    <t>26.169(c)(2): Records of HHS lab reports of the numerical values of all positive drug test results (i.e., quantitative test results requested by MRO; HHS lab must provide quantitative results for morphine and codeine)</t>
  </si>
  <si>
    <t>The 2022 Part 26 final rule included this new requirement for an MRO review of invalid specimens with a pH of 9.0 to 9.5.</t>
  </si>
  <si>
    <t>No longer applicable to HHS labs (updated requirement in 2022 Part 26 Final Rule). Remaining burden accounted for in Table 2</t>
  </si>
  <si>
    <r>
      <rPr>
        <u/>
        <sz val="10"/>
        <rFont val="Arial"/>
        <family val="2"/>
      </rPr>
      <t>Number of Responses</t>
    </r>
    <r>
      <rPr>
        <sz val="10"/>
        <rFont val="Arial"/>
        <family val="2"/>
      </rPr>
      <t xml:space="preserve"> - 26.4(j). The NRC estimates that 50 percent of the 60 sites with a D&amp;A testing program grant authorization to offsite response personnel subject to a State or Federal agency D&amp;A testing program (e.g., emergency fire and medical response personnel, SSNM transporters).</t>
    </r>
  </si>
  <si>
    <r>
      <rPr>
        <u/>
        <sz val="10"/>
        <rFont val="Arial"/>
        <family val="2"/>
      </rPr>
      <t>Burden Hours per Response</t>
    </r>
    <r>
      <rPr>
        <sz val="10"/>
        <rFont val="Arial"/>
        <family val="2"/>
      </rPr>
      <t xml:space="preserve"> - 26.29(b). The NRC estimates 1.5 burden hours per individual to complete the standard web-based training used by industry (National Academy for Nuclear Training e-Learning (NANTeL) Generic FFD and Behavioral Observation training or equivalent) + 0.5 hours per individual to complete the comprehensive examination). The NRC estimates that 68,285 individuals will complete initial training each year (this value is the average annual number of individuals receiving a pre-access test in CYs 2016, 2017, and 2018, adjusted for the sites that will enter decommissioning during the first year of this clearance period. The previous clearance estimated 81,219 individuals per year. </t>
    </r>
  </si>
  <si>
    <r>
      <rPr>
        <u/>
        <sz val="10"/>
        <rFont val="Arial"/>
        <family val="2"/>
      </rPr>
      <t>Number of Responses</t>
    </r>
    <r>
      <rPr>
        <sz val="10"/>
        <rFont val="Arial"/>
        <family val="2"/>
      </rPr>
      <t xml:space="preserve"> - 26.35(a). The NRC estimates that each EAP is a service provider under contract with a D&amp;A testing program. </t>
    </r>
  </si>
  <si>
    <r>
      <rPr>
        <u/>
        <sz val="10"/>
        <rFont val="Arial"/>
        <family val="2"/>
      </rPr>
      <t>Number of Responses</t>
    </r>
    <r>
      <rPr>
        <sz val="10"/>
        <rFont val="Arial"/>
        <family val="2"/>
      </rPr>
      <t xml:space="preserve"> - 26.35(c). The NRC estimates that 860 individuals per year (1 percent of 85,916 individuals subject to a D&amp;A testing program – i.e., individuals subject to a random testing program) will provide written consent to an EAP to release information to FFD management. The 85,916 value is the average number of individuals per year from CY 2016 through CY 2018, adjusted for the sites that will enter decommissioning during the first year of this clearance period. The previous clearance estimated 1,039 individuals per year. </t>
    </r>
  </si>
  <si>
    <r>
      <rPr>
        <u/>
        <sz val="10"/>
        <rFont val="Arial"/>
        <family val="2"/>
      </rPr>
      <t>Number of Responses</t>
    </r>
    <r>
      <rPr>
        <sz val="10"/>
        <rFont val="Arial"/>
        <family val="2"/>
      </rPr>
      <t xml:space="preserve"> - 26.37(b). The NRC estimates that 209 individuals per year would provide written consent to release information to entities or individuals not authorized to access this information under Part 26. See the footnote for section 26.37(b)(1) for a description on the 209 value. This activity is most likely to result because of a D&amp;A testing violation.</t>
    </r>
  </si>
  <si>
    <r>
      <rPr>
        <u/>
        <sz val="10"/>
        <rFont val="Arial"/>
        <family val="2"/>
      </rPr>
      <t>Number of Responses</t>
    </r>
    <r>
      <rPr>
        <sz val="10"/>
        <rFont val="Arial"/>
        <family val="2"/>
      </rPr>
      <t xml:space="preserve"> - 26.37(b)(1). The NRC estimates that only those individuals that have been granted access would seek representation for an FFD related matter (i.e., for a testing violation on a random, for-cause, post-event, or follow-up test). The average number of individuals with a non-pre-access testing violation from CY 2016 through CY 2018 is 209 per year, adjusted for the sites that will enter decommissioning during the first year of this clearance period. This assumption also applies to section 26.37(b)(1) and (d).</t>
    </r>
  </si>
  <si>
    <t>26.37(d): Request by donor or donor’s representative to the D&amp;A testing program to provide personal records collected under Part 26</t>
  </si>
  <si>
    <r>
      <rPr>
        <u/>
        <sz val="10"/>
        <rFont val="Arial"/>
        <family val="2"/>
      </rPr>
      <t>Number of Responses</t>
    </r>
    <r>
      <rPr>
        <sz val="10"/>
        <rFont val="Arial"/>
        <family val="2"/>
      </rPr>
      <t xml:space="preserve"> - 26.37(d). The NRC estimates that of the 209 individuals per year that seek representation for an FFD related matter (see section 26.37(b)(1) discussion), 10 percent would request access to personal records maintained under Part 26. </t>
    </r>
  </si>
  <si>
    <r>
      <rPr>
        <u/>
        <sz val="10"/>
        <rFont val="Arial"/>
        <family val="2"/>
      </rPr>
      <t>Number of Responses</t>
    </r>
    <r>
      <rPr>
        <sz val="10"/>
        <rFont val="Arial"/>
        <family val="2"/>
      </rPr>
      <t xml:space="preserve"> - 26.53(h). The NRC estimates that 68,285 individuals will apply for authorization each year at D&amp;A testing programs. The 68,285 value is the average number of individuals that were pre-access tested at a D&amp;A testing program from CY 2016 through CY 2018, adjusted for the sites that will enter decommissioning during the first year of this clearance period. The NRC estimates that each applicant spends 15 minutes (0.25 hour) reviewing and signing a written consent form.</t>
    </r>
  </si>
  <si>
    <r>
      <rPr>
        <u/>
        <sz val="10"/>
        <rFont val="Arial"/>
        <family val="2"/>
      </rPr>
      <t>Number of Responses</t>
    </r>
    <r>
      <rPr>
        <sz val="10"/>
        <rFont val="Arial"/>
        <family val="2"/>
      </rPr>
      <t xml:space="preserve"> - 26.69(c)(2). The NRC estimates that licensees and other entities will identify potentially disqualifying FFD information (PDI) in the applications of 683 individuals per year (i.e., 1 percent of the 68,285 individuals that apply for authorization at a D&amp;A testing program each year). The previous clearance estimated 812 individuals per year (i.e., 1 percent of 81,219 individuals).</t>
    </r>
  </si>
  <si>
    <t>26.85(b): Alternative collectors not employed by licensee provide proof of qualification</t>
  </si>
  <si>
    <r>
      <rPr>
        <u/>
        <sz val="10"/>
        <rFont val="Arial"/>
        <family val="2"/>
      </rPr>
      <t>Number of Responses</t>
    </r>
    <r>
      <rPr>
        <sz val="10"/>
        <rFont val="Arial"/>
        <family val="2"/>
      </rPr>
      <t xml:space="preserve"> - 26.93(a)(6). The NRC estimates that 10 individuals per D&amp;A testing program (24 programs x 10 individuals = 240) are FFD program personnel not located at the reactor site, fuel cycle facility, or C/V site where collections are typically made and will be tested at a U.S. Department of Transportation compliant collection site per section 26.31(b)(2). This assumption also applies to section 26.95(b)(5), and 26.117(c), (d), and (e). </t>
    </r>
  </si>
  <si>
    <t>26.97(c)(1): Document reason for failure of second collection attempt (non-licensee collection site)</t>
  </si>
  <si>
    <t>26.109(b)(3): Collector documents on the Federal CCF a shy-bladder situation and notifies FFD management (non-licensee collection site)</t>
  </si>
  <si>
    <t>26.109(b)(4): Collector documents on the Federal CCF confirmation from FFD management to conduct an observed collection (non-licensee collection site)</t>
  </si>
  <si>
    <t>26.111(b): Collector documents on the Federal CCF if specimen characteristics (color, clarity) indicate possible tampering by the donor (non-licensee collection site)</t>
  </si>
  <si>
    <t xml:space="preserve">26.111(c): Collector documents on the Federal CCF unusual specimen temperature and/or other observations made during the collection of possible tampering attempt and notifies FFD management (non-licensee collection site) </t>
  </si>
  <si>
    <t>26.113(b)(3): Collector completes the Federal CCF for split-specimen collection (non-licensee collection site)</t>
  </si>
  <si>
    <t>26.115(b): Collector documents on the Federal CCF approval from FFD manager or MRO to collect a specimen under direct observation (non-licensee collection site)</t>
  </si>
  <si>
    <t>26.115(d): Collector documents on the Federal CCF directly observed collection performed and the reason for the observed collection (non-licensee collection site)</t>
  </si>
  <si>
    <t>26.115(f)(3): Record name of observer on the Federal CCF (non-licensee collection site)</t>
  </si>
  <si>
    <t>26.117(c) - (e): Collector prepares ID labels and Federal CCFs for specimen shipment (non-licensee collection site)</t>
  </si>
  <si>
    <r>
      <rPr>
        <u/>
        <sz val="10"/>
        <rFont val="Arial"/>
        <family val="2"/>
      </rPr>
      <t>Number of Responses</t>
    </r>
    <r>
      <rPr>
        <sz val="10"/>
        <rFont val="Arial"/>
        <family val="2"/>
      </rPr>
      <t xml:space="preserve"> - 26.117(c) - (e). This estimate of 10 persons per D&amp;A testing program is consistent with the previous clearance. 
 </t>
    </r>
  </si>
  <si>
    <t>26.129(b): Collector prepares and sends a memorandum to the LTF documenting investigation of discrepancies between specimen bottles and Federal CCF (non-licensee collection site)</t>
  </si>
  <si>
    <t xml:space="preserve">26.135(b): Donor request to the MRO for the retesting of an aliquot of a single specimen or the testing of the Bottle B split specimen at a second HHS lab (initial specimen testing performed at an LTF) </t>
  </si>
  <si>
    <t>26.157(a): Implement and maintain written HHS lab procedures specific to 10 CFR Part 26 that document the accession, receipt, shipment, and testing of specimens</t>
  </si>
  <si>
    <t>26.159(c) - (e): Use and storage of Federal CCFs at an HHS lab</t>
  </si>
  <si>
    <t>26.159(f): Send a copy of the Federal CCF with the specimen that an HHS lab ships to another HHS lab</t>
  </si>
  <si>
    <t>26.165(b)(3): Donor provides the MRO with an oral or written request to retest an aliquot of a single specimen or to test the Bottle B split specimen at a second HHS lab</t>
  </si>
  <si>
    <t>26.169(c)(1): HHS lab report to the MRO for each drug positive, dilute and drug positive, adulterated, substituted, and invalid test result</t>
  </si>
  <si>
    <t>26.169(f): HHS lab transmits to the MRO a copy of the Federal CCF for specimens (negative test results)</t>
  </si>
  <si>
    <t>26.169(g): HHS lab transmits to the MRO a copy of the original Federal CCF signed by the certifying scientist (positive, adulterated, substituted, dilute, and invalid test results)</t>
  </si>
  <si>
    <t>26.185(c): Donor discussion with MRO about HHS lab test result (applies to drug positive, dilute and drug positive, adulterated, and substituted results determined to be an FFD program violation)</t>
  </si>
  <si>
    <r>
      <rPr>
        <u/>
        <sz val="10"/>
        <rFont val="Arial"/>
        <family val="2"/>
      </rPr>
      <t>Burden Hours per Response</t>
    </r>
    <r>
      <rPr>
        <sz val="10"/>
        <rFont val="Arial"/>
        <family val="2"/>
      </rPr>
      <t xml:space="preserve"> - 26.185(c). The NRC estimates that the donor spends an average of 30 minutes (0.5 hour) in discussion with the MRO regarding an HHS lab test result. The average number of drug positive, adulterated, and substituted specimens in CY 2016 through CY 2018 is 559 results, adjusted for the sites that will enter decommissioning during the first year of this clearance period adjusted. The previous clearance estimated 621 results per year.</t>
    </r>
  </si>
  <si>
    <t>26.185(j) Donor discussion with the MRO regarding a positive drug test result (from prescription medication use), and the donor obtains and provides to the MRO documentation on medication use (e.g., prescription bottle information, dispensing pharmacy, prescribing physician)</t>
  </si>
  <si>
    <r>
      <rPr>
        <u/>
        <sz val="10"/>
        <rFont val="Arial"/>
        <family val="2"/>
      </rPr>
      <t>Number of Responses</t>
    </r>
    <r>
      <rPr>
        <sz val="10"/>
        <rFont val="Arial"/>
        <family val="2"/>
      </rPr>
      <t xml:space="preserve"> - 26.185(n). The NRC estimates that 5 percent of the 559 positive, adulterated, and substituted specimens will be retested at a second HHS lab at the request of the donor.</t>
    </r>
  </si>
  <si>
    <r>
      <rPr>
        <u/>
        <sz val="10"/>
        <rFont val="Arial"/>
        <family val="2"/>
      </rPr>
      <t>Number of Responses</t>
    </r>
    <r>
      <rPr>
        <sz val="10"/>
        <rFont val="Arial"/>
        <family val="2"/>
      </rPr>
      <t xml:space="preserve"> - 26.35(c). It is estimated that 766 individuals per year will provide written consent to an EAP to release information to FFD management (i.e., 1 percent of 76,527 individuals -- the average number of individuals subject to a random testing program from CY 2019 through CY 2021). The previous clearance estimated 860 individuals per year (i.e., 1 percent of 85,916).</t>
    </r>
  </si>
  <si>
    <r>
      <rPr>
        <u/>
        <sz val="10"/>
        <rFont val="Arial"/>
        <family val="2"/>
      </rPr>
      <t>Number of Responses</t>
    </r>
    <r>
      <rPr>
        <sz val="10"/>
        <rFont val="Arial"/>
        <family val="2"/>
      </rPr>
      <t xml:space="preserve"> - 26.37(b). It is estimated that only those individuals that have been granted access would provide written consent to release information on an FFD related matter (i.e., a testing violation on a random, for-cause, post-event, or followup test). 
The average number of individuals with a non-pre-access testing violation from CY 2019 through CY 2021 is 231 per year. The previous clearance estimated 209 individuals per year.
This assumption also applies to 26.37(b)(1).</t>
    </r>
  </si>
  <si>
    <r>
      <rPr>
        <u/>
        <sz val="10"/>
        <rFont val="Arial"/>
        <family val="2"/>
      </rPr>
      <t>Number of Responses</t>
    </r>
    <r>
      <rPr>
        <sz val="10"/>
        <rFont val="Arial"/>
        <family val="2"/>
      </rPr>
      <t xml:space="preserve"> - 26.69(c)(2). It is estimated that D&amp;A testing programs will identify potentially disqualifying FFD information (PDI) in the applications of 603 individuals per year (i.e., 1 percent of the 60,257 individuals pre-access tested each year). The previous clearance estimated 683 individuals per year (i.e., 1 percent of 68,285 individuals).</t>
    </r>
  </si>
  <si>
    <r>
      <rPr>
        <u/>
        <sz val="10"/>
        <rFont val="Arial"/>
        <family val="2"/>
      </rPr>
      <t>No. Actions/Year</t>
    </r>
    <r>
      <rPr>
        <sz val="10"/>
        <rFont val="Arial"/>
        <family val="2"/>
      </rPr>
      <t xml:space="preserve"> - 26.9 (D&amp;A testing).
The NRC staff does not anticipate receiving any exemption requests in the current clearance period.
</t>
    </r>
    <r>
      <rPr>
        <u/>
        <sz val="10"/>
        <rFont val="Arial"/>
        <family val="2"/>
      </rPr>
      <t>NRC internal note</t>
    </r>
    <r>
      <rPr>
        <sz val="10"/>
        <rFont val="Arial"/>
        <family val="2"/>
      </rPr>
      <t>: Even though no exemptions expected, updated estimated review time based on NRC experience in reviewing COVID-19 exemptions for D&amp;A testing program requirements, which were more complex than the fatigue management exemption requests.</t>
    </r>
  </si>
  <si>
    <r>
      <rPr>
        <u/>
        <sz val="10"/>
        <rFont val="Arial"/>
        <family val="2"/>
      </rPr>
      <t>No. Actions/Year</t>
    </r>
    <r>
      <rPr>
        <sz val="10"/>
        <rFont val="Arial"/>
        <family val="2"/>
      </rPr>
      <t xml:space="preserve"> - 26.9 (Fatigue - COVID-19).
NRC staff estimates that due to COVID-19 public health emergency, the licensees of 40 operating reactor sites per year will submit an exemption request applicable to fatigue management requirements in Subpart I of Part 26.
</t>
    </r>
    <r>
      <rPr>
        <u/>
        <sz val="10"/>
        <rFont val="Arial"/>
        <family val="2"/>
      </rPr>
      <t>NRC internal note:</t>
    </r>
    <r>
      <rPr>
        <sz val="10"/>
        <rFont val="Arial"/>
        <family val="2"/>
      </rPr>
      <t xml:space="preserve"> NRR fatigue technical staff provided burden hour estimate (Justin Vazquez)</t>
    </r>
  </si>
  <si>
    <r>
      <rPr>
        <u/>
        <sz val="10"/>
        <rFont val="Arial"/>
        <family val="2"/>
      </rPr>
      <t xml:space="preserve">No. Actions/Year </t>
    </r>
    <r>
      <rPr>
        <sz val="10"/>
        <rFont val="Arial"/>
        <family val="2"/>
      </rPr>
      <t>- 26.9 (Fatigue Management).
The NRC staff does not anticipate receiving any exemption requests for the current clearance period.
The previous clearance estimated that 40 operating power reactor sites would seek work hour controls exemptions due to the COVID-19 public health emergency (PHE) (i.e., using a COVID-19 Work Hour Controls Exemption Request form). The COVID-19 PHE declaration ended on May 11, 2023. As a result, the annual burden associated with the review of these COVID-19 exemption requests has been eliminated from the current clearance.</t>
    </r>
  </si>
  <si>
    <r>
      <rPr>
        <u/>
        <sz val="10"/>
        <rFont val="Arial"/>
        <family val="2"/>
      </rPr>
      <t xml:space="preserve">No. Actions/Year </t>
    </r>
    <r>
      <rPr>
        <sz val="10"/>
        <rFont val="Arial"/>
        <family val="2"/>
      </rPr>
      <t xml:space="preserve">- 26.27(d). 
Every three years, the NRC inspects the FFD program of each operating reactor site, each fuel cycle facility, and reactor construction site.
</t>
    </r>
    <r>
      <rPr>
        <u/>
        <sz val="10"/>
        <rFont val="Arial"/>
        <family val="2"/>
      </rPr>
      <t>NRC internal note</t>
    </r>
    <r>
      <rPr>
        <sz val="10"/>
        <rFont val="Arial"/>
        <family val="2"/>
      </rPr>
      <t>: Updated to align with every 3 year inspection process (change also made to Table 2 entry for 26.27(d) for licensee activity associated with these inspections)</t>
    </r>
  </si>
  <si>
    <r>
      <rPr>
        <u/>
        <sz val="10"/>
        <rFont val="Arial"/>
        <family val="2"/>
      </rPr>
      <t>No. Actions/Year</t>
    </r>
    <r>
      <rPr>
        <sz val="10"/>
        <rFont val="Arial"/>
        <family val="2"/>
      </rPr>
      <t xml:space="preserve"> - 26.27(d). 
Every 3 years, the NRC inspects the FFD program of each operating nuclear power reactor site, Category I SNM site, and reactor construction site.</t>
    </r>
  </si>
  <si>
    <r>
      <rPr>
        <u/>
        <sz val="10"/>
        <rFont val="Arial"/>
        <family val="2"/>
      </rPr>
      <t>No. Actions/Year</t>
    </r>
    <r>
      <rPr>
        <sz val="10"/>
        <rFont val="Arial"/>
        <family val="2"/>
      </rPr>
      <t xml:space="preserve"> - 26.717.  A fatigue management performance report is submitted by each operating nuclear power reactor site on an annual basis.  In the first year of the clearance period, 54 operating reactor sites will submit a report.  In years two and three of the clearance period, 51 sites will submit a report because three sites will have permanently ceased operations. Therefore, the average number of reports per year for this clearance period is 52.
</t>
    </r>
    <r>
      <rPr>
        <u/>
        <sz val="10"/>
        <rFont val="Arial"/>
        <family val="2"/>
      </rPr>
      <t>Burden Hours/Action</t>
    </r>
    <r>
      <rPr>
        <sz val="10"/>
        <rFont val="Arial"/>
        <family val="2"/>
      </rPr>
      <t xml:space="preserve"> - 26.717. The NRC staff reduced the estimated burden to review, analyze, and summarize fatigue management data from 10 hours per site in the previous clearance. The updated estimate more accurately reflects the current level of effort.
</t>
    </r>
    <r>
      <rPr>
        <u/>
        <sz val="10"/>
        <rFont val="Arial"/>
        <family val="2"/>
      </rPr>
      <t>NRC internal note:</t>
    </r>
    <r>
      <rPr>
        <sz val="10"/>
        <rFont val="Arial"/>
        <family val="2"/>
      </rPr>
      <t xml:space="preserve"> Final package change # of recordkeepers (3 sites DECON in yr 1 so (54+51+51 sites) / 3 yrs = 52 sites/yr</t>
    </r>
  </si>
  <si>
    <r>
      <rPr>
        <u/>
        <sz val="10"/>
        <rFont val="Arial"/>
        <family val="2"/>
      </rPr>
      <t>No. Actions/Year</t>
    </r>
    <r>
      <rPr>
        <sz val="10"/>
        <rFont val="Arial"/>
        <family val="2"/>
      </rPr>
      <t xml:space="preserve"> - 26.717. A fatigue management performance report is submitted by each operating nuclear power reactor site on an annual basis.  Annually, an average of 53 operating nuclear power reactor sites will be subject to the fatigue management program requirements and submit a performance report to the NRC.
In the previous clearance, the number of operating reactor sites was estimated to decrease from 54 in the first year of the clearance period, to 51 in the second and third years of the clearance period (i.e., the average number of operating reactor sites per year for that clearance was 52). Two of those operating reactor sites did not shutdown, thus the return to 53 operating reactor sites for this clearance period.</t>
    </r>
  </si>
  <si>
    <r>
      <rPr>
        <u/>
        <sz val="10"/>
        <rFont val="Arial"/>
        <family val="2"/>
      </rPr>
      <t>No. Actions/Year</t>
    </r>
    <r>
      <rPr>
        <sz val="10"/>
        <rFont val="Arial"/>
        <family val="2"/>
      </rPr>
      <t xml:space="preserve"> - 26.717.  Each operating nuclear power reactor site (54 sites in the first year of the clearance period, and 51 sites in years two and three of the clearance period due to three sites permanently ceasing operations), fuel cycle facility (2 sites), corporate FFD program (5 sites), and C/V (1 site) submits an FFD Program Performance report to the NRC on an annual basis.  Therefore, the average number of sites per year for this clearance period is 60.
</t>
    </r>
    <r>
      <rPr>
        <u/>
        <sz val="10"/>
        <rFont val="Arial"/>
        <family val="2"/>
      </rPr>
      <t>NRC internal note</t>
    </r>
    <r>
      <rPr>
        <sz val="10"/>
        <rFont val="Arial"/>
        <family val="2"/>
      </rPr>
      <t>: Final package change # of recordkeepers form 62 to 60 due to 3 operating reactor sites DECON in yr 1 so (62+59+59 sites) / 3 yrs = 60 sites/yr</t>
    </r>
  </si>
  <si>
    <r>
      <rPr>
        <u/>
        <sz val="10"/>
        <rFont val="Arial"/>
        <family val="2"/>
      </rPr>
      <t>No. Actions/Year</t>
    </r>
    <r>
      <rPr>
        <sz val="10"/>
        <rFont val="Arial"/>
        <family val="2"/>
      </rPr>
      <t xml:space="preserve"> - 26.719(b).  FFD program performance data from CY 2016 through CY 2018 indicate that NRC received an average of 36 reports per year under section 26.719(b).  The previous clearance estimated 37 reports per year.</t>
    </r>
  </si>
  <si>
    <r>
      <rPr>
        <u/>
        <sz val="10"/>
        <rFont val="Arial"/>
        <family val="2"/>
      </rPr>
      <t>No. Actions/Year</t>
    </r>
    <r>
      <rPr>
        <sz val="10"/>
        <rFont val="Arial"/>
        <family val="2"/>
      </rPr>
      <t xml:space="preserve"> - 26.719(b). It is estimated that the NRC will receive 30 reports per year under 26.719(b), which is the average number reports received from CY 2019 through CY 2021. The previous clearance estimated 36 reports per year.</t>
    </r>
  </si>
  <si>
    <r>
      <rPr>
        <u/>
        <sz val="10"/>
        <rFont val="Arial"/>
        <family val="2"/>
      </rPr>
      <t>No. Actions/Year</t>
    </r>
    <r>
      <rPr>
        <sz val="10"/>
        <rFont val="Arial"/>
        <family val="2"/>
      </rPr>
      <t xml:space="preserve"> - 26.719(c).  FFD program performance data from CY 2016 through CY 2018 indicate that NRC received an average of six (6) reports per year under section 26.719(c).  The previous clearance estimated eight (8) reports per year. </t>
    </r>
  </si>
  <si>
    <t xml:space="preserve"> Total</t>
  </si>
  <si>
    <r>
      <rPr>
        <u/>
        <sz val="10"/>
        <rFont val="Arial"/>
        <family val="2"/>
      </rPr>
      <t>Burden Hours per Recordkeeper</t>
    </r>
    <r>
      <rPr>
        <sz val="10"/>
        <rFont val="Arial"/>
        <family val="2"/>
      </rPr>
      <t xml:space="preserve"> - 26.31(b)(1)(i). It is estimated that each D&amp;A testing program spends 16 hours per year to evaluate records provided by individuals seeking to be or serving as FFD program personnel. </t>
    </r>
  </si>
  <si>
    <r>
      <rPr>
        <u/>
        <sz val="10"/>
        <rFont val="Arial"/>
        <family val="2"/>
      </rPr>
      <t>Burden Hours per Recordkeeper</t>
    </r>
    <r>
      <rPr>
        <sz val="10"/>
        <rFont val="Arial"/>
        <family val="2"/>
      </rPr>
      <t xml:space="preserve"> - 26.53(e)(2). The estimated burden for a C/V to notify a D&amp;A testing program of the termination of an individual’s authorization is 30 minutes (0.5 hour) per program (i.e., 24 D&amp;A testing programs would be notified of each event).</t>
    </r>
  </si>
  <si>
    <r>
      <rPr>
        <u/>
        <sz val="10"/>
        <rFont val="Arial"/>
        <family val="2"/>
      </rPr>
      <t>Total Annual Burden Hours</t>
    </r>
    <r>
      <rPr>
        <sz val="10"/>
        <rFont val="Arial"/>
        <family val="2"/>
      </rPr>
      <t xml:space="preserve"> - 26.69(c)(2). The NRC staff estimates that potentially disqualifying FFD information (PDI) is identified in the applications of 683 individuals each year (i.e., 1 percent of the 68,285 individuals that annually apply for authorization at D&amp;A testing programs) and that a D&amp;A testing program will spend 2.0 hours per application to resolve identified PDI. </t>
    </r>
  </si>
  <si>
    <t>26.85(a): Training of specimen collectors and maintain training records in personnel files</t>
  </si>
  <si>
    <t>26.89(c): Collector documents on the Federal CCF a donor's refusal to cooperate with the collection process</t>
  </si>
  <si>
    <r>
      <rPr>
        <u/>
        <sz val="10"/>
        <rFont val="Arial"/>
        <family val="2"/>
      </rPr>
      <t>Total Annual Burden Hours</t>
    </r>
    <r>
      <rPr>
        <sz val="10"/>
        <rFont val="Arial"/>
        <family val="2"/>
      </rPr>
      <t xml:space="preserve"> - 26.93(a)(6). The NRC staff estimates that 122,016 individuals will be alcohol tested each year by D&amp;A testing programs. This value is the average annual number of tests conducted from CY 2016 through CY 2018, adjusted for the sites that will enter decommissioning during the first year of this clearance period. Prior to initiating an alcohol test, the collector is estimated to take 30 seconds (0.008 hour) to ask and document the communication of the pre-test questions.</t>
    </r>
  </si>
  <si>
    <r>
      <rPr>
        <u/>
        <sz val="10"/>
        <rFont val="Arial"/>
        <family val="2"/>
      </rPr>
      <t>Total Annual Burden Hours</t>
    </r>
    <r>
      <rPr>
        <sz val="10"/>
        <rFont val="Arial"/>
        <family val="2"/>
      </rPr>
      <t xml:space="preserve"> - 26.95(b)(5). The NRC staff estimates that 122,016 individuals will be alcohol tested each year. Prior to initiating an alcohol test, the collector will positively identify the donor and document the donor’s name – this activity is estimated to take 30 seconds (0.008 hour). </t>
    </r>
  </si>
  <si>
    <r>
      <rPr>
        <u/>
        <sz val="10"/>
        <rFont val="Arial"/>
        <family val="2"/>
      </rPr>
      <t xml:space="preserve">Number of Recordkeepers </t>
    </r>
    <r>
      <rPr>
        <sz val="10"/>
        <rFont val="Arial"/>
        <family val="2"/>
      </rPr>
      <t xml:space="preserve">- 26.97(b)(2). The NRC staff is not aware of any D&amp;A testing program that conducts oral fluid alcohol screening testing. This assumption also applies to section 26.97(c)(1) and (d). </t>
    </r>
  </si>
  <si>
    <r>
      <t>26.97(c)(1): Document reason for failure of 2</t>
    </r>
    <r>
      <rPr>
        <vertAlign val="superscript"/>
        <sz val="10"/>
        <rFont val="Arial"/>
        <family val="2"/>
      </rPr>
      <t>nd</t>
    </r>
    <r>
      <rPr>
        <sz val="10"/>
        <rFont val="Arial"/>
        <family val="2"/>
      </rPr>
      <t xml:space="preserve"> collection attempt</t>
    </r>
  </si>
  <si>
    <t>26.109(b)(3): Collector documents on the Federal CCF that the donor was unable to provide a specimen in the 3-hour time allotted (i.e., a shy bladder), and notifies FFD management</t>
  </si>
  <si>
    <r>
      <rPr>
        <u/>
        <sz val="10"/>
        <rFont val="Arial"/>
        <family val="2"/>
      </rPr>
      <t>Number of Recordkeepers</t>
    </r>
    <r>
      <rPr>
        <sz val="10"/>
        <rFont val="Arial"/>
        <family val="2"/>
      </rPr>
      <t xml:space="preserve"> - 26.4(j). The NRC staff estimates that 50 percent of the 60 sites implementing a D&amp;A testing program grant authorization to offsite response personnel subject to a State or Federal agency D&amp;A testing program (e.g., emergency fire and medical response personnel, SSNM transporters). </t>
    </r>
  </si>
  <si>
    <r>
      <rPr>
        <u/>
        <sz val="10"/>
        <rFont val="Arial"/>
        <family val="2"/>
      </rPr>
      <t>Number of Recordkeepers</t>
    </r>
    <r>
      <rPr>
        <sz val="10"/>
        <rFont val="Arial"/>
        <family val="2"/>
      </rPr>
      <t xml:space="preserve"> - 26.4(j). It is estimated that 50 percent of the 60 sites implementing a D&amp;A testing program grant authorization to offsite response personnel subject to a State or Federal agency D&amp;A testing program (e.g., emergency fire and medical response personnel, strategic special nuclear material (SSNM) transporters). </t>
    </r>
  </si>
  <si>
    <r>
      <rPr>
        <u/>
        <sz val="10"/>
        <rFont val="Arial"/>
        <family val="2"/>
      </rPr>
      <t>Burden Hours per Recordkeeper</t>
    </r>
    <r>
      <rPr>
        <sz val="10"/>
        <rFont val="Arial"/>
        <family val="2"/>
      </rPr>
      <t xml:space="preserve"> - 26.37(b)(1). It is estimated that an individual spends 15 minutes (0.25 hour) to read and sign a consent form to provide access to a representative to assist with an FFD violation. 
It is estimated that the 281 individuals that annually test positive on random, for-cause, post-event, and follow-up tests would request assistance from a representative. The 281 value is the average number of testing violations from CY 2019 through CY 2021, adjusted for the estimated increase in detection as a result of the 2022 Part 26 final rule. The previous clearance estimated 209 individuals would request assistance each year.</t>
    </r>
  </si>
  <si>
    <r>
      <rPr>
        <u/>
        <sz val="10"/>
        <rFont val="Arial"/>
        <family val="2"/>
      </rPr>
      <t>Number of Recordkeepers</t>
    </r>
    <r>
      <rPr>
        <sz val="10"/>
        <rFont val="Arial"/>
        <family val="2"/>
      </rPr>
      <t xml:space="preserve"> - 26.39(d). The NRC staff estimates that following a review that finds in favor of the individual, six (6) D&amp;A testing programs per year will update relevant records for an individual to address inaccurate information on an FFD violation.</t>
    </r>
  </si>
  <si>
    <r>
      <rPr>
        <u/>
        <sz val="10"/>
        <rFont val="Arial"/>
        <family val="2"/>
      </rPr>
      <t>Burden Hours per Recordkeeper</t>
    </r>
    <r>
      <rPr>
        <sz val="10"/>
        <rFont val="Arial"/>
        <family val="2"/>
      </rPr>
      <t xml:space="preserve"> - 26.183(d)(1)(ii)(D). It is estimated that the MRO or MRO staff spend 5 minutes (0.083 hour) per drug positive, adulterated, substituted and refusal to test result to communicate the determination to D&amp;A testing program's designated reviewing official. The number of records reviewed (738 tests per year) is discussed under 26.183(c)(1). </t>
    </r>
  </si>
  <si>
    <t>26.111(b): Collector documents on the Federal CCF (or through another documentation method consistent with collection procedures) if specimen characteristics (color, clarity) indicate possible tampering by the donor</t>
  </si>
  <si>
    <t>26.111(c): Collector documents on the Federal CCF unusual specimen temperature and/or observations during the collection indicating possible tampering, and notifies FFD management</t>
  </si>
  <si>
    <t>26.113(b)(3): Collector completes the Federal CCF for split-specimen collection</t>
  </si>
  <si>
    <t>26.117(c) - (e): Collector prepares ID labels and Federal CCF forms for specimen shipment</t>
  </si>
  <si>
    <t>26.129(b): LTF inspects specimen packages, Federal CCFs, and obtains memorandum from specimen collectors to correct identified discrepancies</t>
  </si>
  <si>
    <t>26.163(a)(2): Record that special analyses testing conducted on dilute specimens and specimens collected under the direct observation conditions in 26.115(a)(1) through (3) and (a)(5) and report of the test results</t>
  </si>
  <si>
    <t>26.165(b)(2): Record that the MRO informed the donor of the opportunity to request the retesting of an aliquot of a single specimen or the testing of the Bottle B split specimen at a second HHS lab</t>
  </si>
  <si>
    <t>26.165(c)(4): Results report received from the second HHS lab that performed retesting on an aliquot of a single specimen or the testing of the Bottle B split specimen</t>
  </si>
  <si>
    <t>26.165(f)(1): Adjustments to personnel files and written notifications regarding the results of retesting an aliquot of a single specimen or testing of the Bottle B split specimen, including temporary administrative action</t>
  </si>
  <si>
    <r>
      <rPr>
        <u/>
        <sz val="10"/>
        <rFont val="Arial"/>
        <family val="2"/>
      </rPr>
      <t>Total Annual Burden Hours</t>
    </r>
    <r>
      <rPr>
        <sz val="10"/>
        <rFont val="Arial"/>
        <family val="2"/>
      </rPr>
      <t xml:space="preserve"> - 26.168(a). The NRC staff estimates that each FFD program will 1.0 hour per site each year to maintain documentation on the HHS lab certification of the BPTS formulation for each specimen received. [60 sites x 1.0 hour per site = 60 hours]</t>
    </r>
  </si>
  <si>
    <t xml:space="preserve">26.168(i)(2): D&amp;A testing program completes Federal CCF for a BPTS, places fictional initials on specimen labels, and indicates on the MRO copy of the Federal CCF that the specimen is a BPTS </t>
  </si>
  <si>
    <r>
      <rPr>
        <u/>
        <sz val="10"/>
        <rFont val="Arial"/>
        <family val="2"/>
      </rPr>
      <t>Total Annual Burden Hours</t>
    </r>
    <r>
      <rPr>
        <sz val="10"/>
        <rFont val="Arial"/>
        <family val="2"/>
      </rPr>
      <t xml:space="preserve"> - 26.168(i)(2). The NRC staff estimates that preparing one BPTS takes 20 minutes (0.333 hour), with 40 BPTS prepared per year per site with a D&amp;A testing program (i.e., 10 BPTSs prepared per quarter per site). [60 sites x 0.333 hour per BPTS x 40 BPTSs per site = 800 hours]</t>
    </r>
  </si>
  <si>
    <t>26.169(f): Records of HHS lab transmittals of Federal CCF copies to the MRO (negative results)</t>
  </si>
  <si>
    <t>26.169(g): HHS lab copy of the original Federal CCF for each drug positive, dilute and drug positive, adulterated, substituted, and invalid test result provided to the MRO</t>
  </si>
  <si>
    <r>
      <rPr>
        <u/>
        <sz val="10"/>
        <rFont val="Arial"/>
        <family val="2"/>
      </rPr>
      <t>Burden Hours per Recordkeeper</t>
    </r>
    <r>
      <rPr>
        <sz val="10"/>
        <rFont val="Arial"/>
        <family val="2"/>
      </rPr>
      <t xml:space="preserve"> - 26.183(c)(1). It is estimated that the MRO will spend 5 minutes (0.083 hour) reviewing an individual’s specimen test results. The NRC staff estimates 738 drug positive (including dilute positives), adulterated, substituted, and refusal to test results each year, which is the average number of these test results reported by D&amp;A testing programs from CY 2019 through CY 2021, adjusted for the estimated increase in detection as a result of the 2022 Part 26 final rule. 
The previous clearance estimated 559 drug positive, adulterated, substituted, and refusal to test results each year.</t>
    </r>
  </si>
  <si>
    <r>
      <rPr>
        <u/>
        <sz val="10"/>
        <rFont val="Arial"/>
        <family val="2"/>
      </rPr>
      <t>Burden Hours per Recordkeeper</t>
    </r>
    <r>
      <rPr>
        <sz val="10"/>
        <rFont val="Arial"/>
        <family val="2"/>
      </rPr>
      <t xml:space="preserve"> - 26.183(d)(2)(i). The NRC staff estimates that MRO staff will spend 3 minutes (0.05 hour) to review each HHS lab result (an average of 122,016 tests were performed from CY 2016 through CY 2018 by D&amp;A testing programs), adjusted for the sites that will enter decommissioning during the first year of this clearance period.</t>
    </r>
  </si>
  <si>
    <r>
      <rPr>
        <u/>
        <sz val="10"/>
        <rFont val="Arial"/>
        <family val="2"/>
      </rPr>
      <t>Burden Hours per Recordkeeper</t>
    </r>
    <r>
      <rPr>
        <sz val="10"/>
        <rFont val="Arial"/>
        <family val="2"/>
      </rPr>
      <t xml:space="preserve"> - 26.183(d)(2)(i). It is estimated that MRO staff spend 3 minutes (0.05 hour) to review each HHS lab result (an average of 107,331 tests were performed from CY 2019 through CY 2021 by D&amp;A testing programs). The previous clearance estimated reviewing an average of 122,016 test results per year.</t>
    </r>
  </si>
  <si>
    <r>
      <rPr>
        <u/>
        <sz val="10"/>
        <rFont val="Arial"/>
        <family val="2"/>
      </rPr>
      <t>Burden Hours per Recordkeeper</t>
    </r>
    <r>
      <rPr>
        <sz val="10"/>
        <rFont val="Arial"/>
        <family val="2"/>
      </rPr>
      <t xml:space="preserve"> - 26.183(d)(2)(ii). The NRC staff estimates that MRO staff spend 6 minutes (0.10 hour) to review each positive, adulterated, substituted, and invalid test result record. The number of records reviewed (559) per year is discussed under section 26.183(c)(1). </t>
    </r>
  </si>
  <si>
    <r>
      <t xml:space="preserve">Burden Hours per Recordkeeper </t>
    </r>
    <r>
      <rPr>
        <sz val="10"/>
        <rFont val="Arial"/>
        <family val="2"/>
      </rPr>
      <t>- 26.183(d)(2)(ii). It is estimated that MRO staff spend 6 minutes (0.10 hour) to review each positive, adulterated, substituted, and invalid test result record. The number of records reviewed (738) per year is discussed under 26.183(c)(1).</t>
    </r>
  </si>
  <si>
    <r>
      <rPr>
        <u/>
        <sz val="10"/>
        <rFont val="Arial"/>
        <family val="2"/>
      </rPr>
      <t>Burden Hours per Recordkeeper</t>
    </r>
    <r>
      <rPr>
        <sz val="10"/>
        <rFont val="Arial"/>
        <family val="2"/>
      </rPr>
      <t xml:space="preserve"> - 26.185(c). The NRC staff estimates that an MRO will spend an average of 30 minutes (0.5 hour) to contact the donor, discuss the HHS lab test results, and document the discussion and determination. The number of individuals contacted (559) per year is discussed under section 26.183(c)(1). </t>
    </r>
  </si>
  <si>
    <r>
      <rPr>
        <u/>
        <sz val="10"/>
        <rFont val="Arial"/>
        <family val="2"/>
      </rPr>
      <t>Burden Hours per Recordkeeper</t>
    </r>
    <r>
      <rPr>
        <sz val="10"/>
        <rFont val="Arial"/>
        <family val="2"/>
      </rPr>
      <t xml:space="preserve"> - 26.185(c). It is estimated that an MRO spends an average of 30 minutes (0.5 hour) to contact the donor, discuss the HHS lab test results, document the discussion, and report the FFD policy violation to the D&amp;A testing program. The number of individuals contacted (738) per year is discussed under 26.183(c)(1).</t>
    </r>
  </si>
  <si>
    <r>
      <rPr>
        <u/>
        <sz val="10"/>
        <rFont val="Arial"/>
        <family val="2"/>
      </rPr>
      <t>Burden Hours per Recordkeeper</t>
    </r>
    <r>
      <rPr>
        <sz val="10"/>
        <rFont val="Arial"/>
        <family val="2"/>
      </rPr>
      <t xml:space="preserve"> - 26.185(j). The NRC staff estimates that an MRO will spend an average of 1.0 hour to review a positive test result associated with the use of a prescription medication. This activity consists of obtaining information from the donor and confirming the information with a prescribing physician or pharmacy. The NRC staff estimates 60 positive results each year associated with legitimate medical use. </t>
    </r>
  </si>
  <si>
    <r>
      <rPr>
        <u/>
        <sz val="10"/>
        <rFont val="Arial"/>
        <family val="2"/>
      </rPr>
      <t>Total Annual Burden Hours</t>
    </r>
    <r>
      <rPr>
        <sz val="10"/>
        <rFont val="Arial"/>
        <family val="2"/>
      </rPr>
      <t xml:space="preserve"> - 26.189(c). The NRC staff estimates that 260 for-cause tests will be performed by D&amp;A testing programs each year, which is the average number of for-cause tests performed from CY 2016 through CY 2018, adjusted for the sites that will enter decommissioning during the first year of this clearance period. The NRC staff estimates burden at 1.0 hour to evaluate an individual and document the criteria met to conduct forcause testing. The previous clearance estimated 405 for-cause tests performed each year.</t>
    </r>
  </si>
  <si>
    <r>
      <t xml:space="preserve">NRC internal notes:
(1) Changed calculation method from program to site to improve estimate accuracy. For comparison on burden hours per recordkeeper by site, the last clearance value = (1,050 hrs/59 sites) = 17.8 hrs/site. </t>
    </r>
    <r>
      <rPr>
        <u/>
        <sz val="10"/>
        <rFont val="Arial"/>
        <family val="2"/>
      </rPr>
      <t>The 16 hrs/site is a 10.1% decrease in estimated burden</t>
    </r>
    <r>
      <rPr>
        <sz val="10"/>
        <rFont val="Arial"/>
        <family val="2"/>
      </rPr>
      <t>.
(2) Final package change # of recordkeepers (3 sites DECON in yr 1 so (54+51+51 sites) / 3 yrs = 52 sites/yr</t>
    </r>
  </si>
  <si>
    <r>
      <rPr>
        <u/>
        <sz val="10"/>
        <rFont val="Arial"/>
        <family val="2"/>
      </rPr>
      <t>NRC internal notes</t>
    </r>
    <r>
      <rPr>
        <sz val="10"/>
        <rFont val="Arial"/>
        <family val="2"/>
      </rPr>
      <t xml:space="preserve">:
(1) Changed calculation method from program to site to improve estimate accuracy. For comparison on burden hours per recordkeeper by site, the last clearance value = (1,050 hrs/59 sites) = 17.8 hrs/site. </t>
    </r>
    <r>
      <rPr>
        <u/>
        <sz val="10"/>
        <rFont val="Arial"/>
        <family val="2"/>
      </rPr>
      <t>The 16 hrs/site is a 10.1% decrease in estimated burden</t>
    </r>
    <r>
      <rPr>
        <sz val="10"/>
        <rFont val="Arial"/>
        <family val="2"/>
      </rPr>
      <t>. 
(2) Final package change # of recordkeepers (3 sites DECON in yr 1 so (54+51+51 sites) / 3 yrs = 52 sites/yr</t>
    </r>
  </si>
  <si>
    <r>
      <rPr>
        <u/>
        <sz val="10"/>
        <rFont val="Arial"/>
        <family val="2"/>
      </rPr>
      <t>NRC internal notes</t>
    </r>
    <r>
      <rPr>
        <sz val="10"/>
        <rFont val="Arial"/>
        <family val="2"/>
      </rPr>
      <t>:
(1) Changed calculation method from program to site to improve estimate accuracy. For comparison on burden hours per recordkeeper by site, the last clearance value = (840 hrs/ 59 sites) = 14.2 hrs/site.</t>
    </r>
    <r>
      <rPr>
        <u/>
        <sz val="10"/>
        <rFont val="Arial"/>
        <family val="2"/>
      </rPr>
      <t xml:space="preserve"> The 12 hrs/site is a 15.5% decrease in estimated burden</t>
    </r>
    <r>
      <rPr>
        <sz val="10"/>
        <rFont val="Arial"/>
        <family val="2"/>
      </rPr>
      <t>.
(2) Final package change # of recordkeepers (3 sites DECON in yr 1 so (54+51+51 sites) / 3 yrs = 52 sites/yr</t>
    </r>
  </si>
  <si>
    <r>
      <rPr>
        <u/>
        <sz val="10"/>
        <rFont val="Arial"/>
        <family val="2"/>
      </rPr>
      <t>NRC internal notes</t>
    </r>
    <r>
      <rPr>
        <sz val="10"/>
        <rFont val="Arial"/>
        <family val="2"/>
      </rPr>
      <t xml:space="preserve">:
(1) Changed calculation method from program to site to improve estimate accuracy. For comparison on burden hours per recordkeeper by site, the last clearance value = (126 hrs/59 sites) = 2.1 hrs/site. </t>
    </r>
    <r>
      <rPr>
        <u/>
        <sz val="10"/>
        <rFont val="Arial"/>
        <family val="2"/>
      </rPr>
      <t>The 2 hrs/site is a 4.8% decrease in estimated burden</t>
    </r>
    <r>
      <rPr>
        <sz val="10"/>
        <rFont val="Arial"/>
        <family val="2"/>
      </rPr>
      <t>.
(2) Final package change # of recordkeepers (3 sites DECON in yr 1 so (54+51+51 sites) / 3 yrs = 52 sites/yr</t>
    </r>
  </si>
  <si>
    <r>
      <rPr>
        <u/>
        <sz val="10"/>
        <rFont val="Arial"/>
        <family val="2"/>
      </rPr>
      <t>Total Annual Burden Hours</t>
    </r>
    <r>
      <rPr>
        <sz val="10"/>
        <rFont val="Arial"/>
        <family val="2"/>
      </rPr>
      <t xml:space="preserve"> - 26.405(c)(1). FFD program performance data from CY 2016 through CY 2018 indicate that the reactor construction site D&amp;A testing program conducted an average of 6,514 pre-access tests per year (6,220 in CY 2016; 5,832 in CY 2017; 7,489 in CY 2018). The previous clearance estimated 6,898 pre-access tests per year. The NRC staff estimates burden at 5 minutes (0.083 hour) to document a pre-assignment test result. </t>
    </r>
  </si>
  <si>
    <r>
      <rPr>
        <u/>
        <sz val="10"/>
        <rFont val="Arial"/>
        <family val="2"/>
      </rPr>
      <t>Total Annual Burden Hours</t>
    </r>
    <r>
      <rPr>
        <sz val="10"/>
        <rFont val="Arial"/>
        <family val="2"/>
      </rPr>
      <t xml:space="preserve"> - 26.405(c)(2) and (c)(3). The NRC staff estimates 1.0 hour per person to document a for-cause or post-event testing event (determination for testing and test result). FFD program performance data from CY 2016 through CY 2018 indicate that the reactor construction site D&amp;A testing program conducted an average of 531 for-cause and post-event tests per year (824 in CY 2016; 420 in CY 2017; 350 in CY 2018). The previous clearance estimated an average of 618 for-cause and post-event tests per year.</t>
    </r>
  </si>
  <si>
    <r>
      <rPr>
        <u/>
        <sz val="10"/>
        <rFont val="Arial"/>
        <family val="2"/>
      </rPr>
      <t>Total Annual Burden Hours</t>
    </r>
    <r>
      <rPr>
        <sz val="10"/>
        <rFont val="Arial"/>
        <family val="2"/>
      </rPr>
      <t xml:space="preserve"> - 26.405(c)(4).The NRC staff estimates 5 minutes (0.083 hour) to document a follow-up test result. FFD program performance data from CY 2016 through CY 2018 indicate that the reactor construction site D&amp;A testing program conducted an average of 482 follow-up tests per year (501 in CY 2016; 78 in CY 2017; 867 in CY 2018). The previous clearance estimated an average of 505 follow-up tests per year. </t>
    </r>
  </si>
  <si>
    <r>
      <rPr>
        <u/>
        <sz val="10"/>
        <rFont val="Arial"/>
        <family val="2"/>
      </rPr>
      <t>Total Annual Burden Hours</t>
    </r>
    <r>
      <rPr>
        <sz val="10"/>
        <rFont val="Arial"/>
        <family val="2"/>
      </rPr>
      <t xml:space="preserve"> - 26.405(g). The NRC staff estimates 45 minutes (0.75 hour) per test to review the HHS lab result, discuss the result with the donor and communicate with FFD management about the confirmed result. FFD program performance data from CY 2016 through CY 2018 indicated that the reactor construction site D&amp;A testing program averaged 239 drug positive, adulterated, substituted and refusal to test results per year (209 in CY 2016, 213 in CY 2017, and 295 in CY 2018). The previous clearance estimated an average of 217 results per year.</t>
    </r>
  </si>
  <si>
    <r>
      <rPr>
        <u/>
        <sz val="10"/>
        <rFont val="Arial"/>
        <family val="2"/>
      </rPr>
      <t>Total Annual Burden Hours</t>
    </r>
    <r>
      <rPr>
        <sz val="10"/>
        <rFont val="Arial"/>
        <family val="2"/>
      </rPr>
      <t xml:space="preserve"> - 26.411(a) and (b). NRC estimates that an average of 8,043 individuals will be subject to testing each year at a reactor construction site D&amp;A testing program, with a burden of 1.0 hour per person to collection personal information. This value is the average number of random tests performed from CY 2016 through CY 2018 (6,776 in CY 2016; 8,060 in CY 2017; and 9,294 in CY 2018). The previous clearance estimated and average of 3,817 individuals per D&amp;A testing program per year. </t>
    </r>
  </si>
  <si>
    <r>
      <rPr>
        <u/>
        <sz val="10"/>
        <rFont val="Arial"/>
        <family val="2"/>
      </rPr>
      <t>Number of Recordkeepers</t>
    </r>
    <r>
      <rPr>
        <sz val="10"/>
        <rFont val="Arial"/>
        <family val="2"/>
      </rPr>
      <t xml:space="preserve">  - 26.715(b)(8). 
Section 26.719(c) reports, from CY 2016 through CY 2018, an average of six (6) reports on testing errors or unsatisfactory performance at an LTF or HHS lab were reported.</t>
    </r>
  </si>
  <si>
    <r>
      <rPr>
        <u/>
        <sz val="10"/>
        <rFont val="Arial"/>
        <family val="2"/>
      </rPr>
      <t>Number of Recordkeepers</t>
    </r>
    <r>
      <rPr>
        <sz val="10"/>
        <rFont val="Arial"/>
        <family val="2"/>
      </rPr>
      <t xml:space="preserve"> - 26.715(b)(14). The NRC staff updated the calculation method to reflect burden by site instead of by FFD program. It is more accurate to estimate burden by the number of licensee and other entity sites where EBT equipment is utilized.
</t>
    </r>
    <r>
      <rPr>
        <u/>
        <sz val="10"/>
        <rFont val="Arial"/>
        <family val="2"/>
      </rPr>
      <t>NRC internal notes:</t>
    </r>
    <r>
      <rPr>
        <sz val="10"/>
        <rFont val="Arial"/>
        <family val="2"/>
      </rPr>
      <t xml:space="preserve">
(1) Changed calculation method from program to site to improve estimate accuracy
(2) Final package change # of recordkeepers form 62 to 60 due to 3 operating reactor sites DECON in yr 1 so (62+59+59 sites) /3 yrs = 60 sites/yr</t>
    </r>
  </si>
  <si>
    <r>
      <rPr>
        <u/>
        <sz val="10"/>
        <rFont val="Arial"/>
        <family val="2"/>
      </rPr>
      <t>NRC internal notes</t>
    </r>
    <r>
      <rPr>
        <sz val="10"/>
        <rFont val="Arial"/>
        <family val="2"/>
      </rPr>
      <t>: 
(1) Changed calculation method from program to site to improve estimate accuracy
(2) Final package change # of recordkeepers (3 sites DECON in yr 1 so (54+51+51 sites) / 3 yrs = 52 sites/yr</t>
    </r>
  </si>
  <si>
    <r>
      <rPr>
        <u/>
        <sz val="10"/>
        <rFont val="Arial"/>
        <family val="2"/>
      </rPr>
      <t>NRC internal notes:</t>
    </r>
    <r>
      <rPr>
        <sz val="10"/>
        <rFont val="Arial"/>
        <family val="2"/>
      </rPr>
      <t xml:space="preserve">
(1) Changed calculation method from program to site to improve estimate accuracy
(2) Final package change # of recordkeepers form 62 to 60 due to 3 operating reactor sites DECON in yr 1 so (62+59+59 sites) /3 yrs = 60 sites/yr</t>
    </r>
  </si>
  <si>
    <r>
      <rPr>
        <u/>
        <sz val="10"/>
        <rFont val="Arial"/>
        <family val="2"/>
      </rPr>
      <t>NRC internal notes:</t>
    </r>
    <r>
      <rPr>
        <sz val="10"/>
        <rFont val="Arial"/>
        <family val="2"/>
      </rPr>
      <t xml:space="preserve">
(1) Changed calculation method from program to site to improve estimate accuracy
(2) Final package change # of recordkeepers (3 sites DECON in yr 1 so (54+51+51 sites) / 3 yrs = 52 sites/yr</t>
    </r>
  </si>
  <si>
    <r>
      <rPr>
        <u/>
        <sz val="10"/>
        <rFont val="Arial"/>
        <family val="2"/>
      </rPr>
      <t>Number of Recordkeepers</t>
    </r>
    <r>
      <rPr>
        <sz val="10"/>
        <rFont val="Arial"/>
        <family val="2"/>
      </rPr>
      <t xml:space="preserve"> - 26.719(b). It is estimated that licensee and other entities will submit 30 reports per year under 26.719(b). This value is the average number of 26.719(b) reports received from CY 2019 through CY 2021 (31 reports in 2019, 29 reports in 2020, and 30 reports in 2021). The previous clearance estimated 36 reports per year.</t>
    </r>
  </si>
  <si>
    <t xml:space="preserve">26.109(b)(4): Collector documents on the Federal CCF if a specimen (less than 30 mL) appears to be tampered with and/or donor behavior during collection indicated a possible subversion attempt, and notifies FFD management </t>
  </si>
  <si>
    <t>2022 Final Rule (new requirement)</t>
  </si>
  <si>
    <t>26.107(b): Collector documents on the Federal CCF (or through another documentation method consistent with collection procedures) a description of any donor conduct during collection process that indicates an attempt to tamper with a specimen, and notifies FFD management</t>
  </si>
  <si>
    <t>2022 Final Rule 
(Description Update)</t>
  </si>
  <si>
    <t>Constellation</t>
  </si>
  <si>
    <r>
      <t>Burden Hours 
per Recordkeeper
(Annualized)</t>
    </r>
    <r>
      <rPr>
        <b/>
        <sz val="12"/>
        <rFont val="Arial"/>
        <family val="2"/>
      </rPr>
      <t>*</t>
    </r>
  </si>
  <si>
    <t>Total 
Burden Hours
(Annualized)</t>
  </si>
  <si>
    <r>
      <rPr>
        <b/>
        <sz val="10"/>
        <rFont val="Arial"/>
        <family val="2"/>
      </rPr>
      <t>*</t>
    </r>
    <r>
      <rPr>
        <sz val="10"/>
        <rFont val="Arial"/>
        <family val="2"/>
      </rPr>
      <t xml:space="preserve"> An annualized one-time burden is calculated by dividing each burden hour estimate by the 3 years covered by this clearance. While the recordkeeping burdens in Table 1 are not applicable to most D&amp;A testing programs or any fatigue management program during this clearance period, the “Burden Hours per Program (Annualized)” information is retained for future reference.</t>
    </r>
  </si>
  <si>
    <t>Burden Hours per Recordkeeper - 26.31(b)(1)(i). The NRC staff estimates that five (5) individuals per D&amp;A testing program per year apply for authorization as FFD program personnel. A D&amp;A testing program is estimated to spend 1.0 hour to review an applicant’s records.</t>
  </si>
  <si>
    <t>Burden Hours per Recordkeeper - 26.37(b)(1).The NRC staff estimates that an individual will spend 15 minutes (0.25 hour) reviewing and signing a consent form to provide access to a representative to assist with an FFD violation. The NRC staff estimates that the 209 individuals that test positive on random, for-cause, post-event, and follow-up testing would request assistance from a representative. The 209 value is the average number of testing violations reported by D&amp;A testing programs from CY 2016 through CY 2018, adjusted for the sites that will enter decommissioning during the first year of this clearance period. The previous clearance estimated 258 individuals would request assistance each year.</t>
  </si>
  <si>
    <t>Total Annual Burden Hours - 26.39(b). The NRC staff estimates that a licensee or other entity will spend 2.75 hours per individual with a pre-access, random, for-cause, post-event, or follow-up testing violation. The NRC staff estimates that 721 individuals per year will have a testing violation, which is the average annual number of testing violations reported by D&amp;A testing programs from CY 2016 through CY 2018, adjusted for the sites that will enter decommissioning during the first year of this clearance period. The previous clearance estimated that an average of 826 individuals per year would have a testing violation.</t>
  </si>
  <si>
    <t>Number of Recordkeepers - 26.39(e). Only one C/V, the Institute of Nuclear Power Operations (INPO), maintains an independent D&amp;A testing program under Part 26. All other C/Vs fall under the licensee or other entity D&amp;A testing programs and would not be subject to this recordkeeping requirement. INPO has had no positive test results from CY 2016 through CY 2018.</t>
  </si>
  <si>
    <t>Total Annual Burden Hours - 26.53(h). The NRC staff estimates that D&amp;A testing programs will obtain written consent from 68,285 individuals per year. This value is the average annual number of individuals with pre-access tests from CY 2016 through CY 2018, adjusted for the sites that will enter decommissioning during the first year of this clearance period. Three minutes (0.05 hour) is the estimated burden for the licensee or other entity to file a signed consent form received from an individual before initiating a pre-access test. Most of the burden for reading and signing the consent form is accounted for as third-party burden in Table 4. The previous clearance estimated 81,219 individuals per year would complete this activity.</t>
  </si>
  <si>
    <t>Total Annual Burden Hours - 26.53(i).The NRC staff estimates that 506 individuals per year who apply for authorization at D&amp;A testing programs will have a pre-access testing violation (i.e., a positive test result for drug(s) and/or alcohol, an adulterated or substituted validity test result, or a refusal to test). The 506 value is the average number of pre-access testing violations reported in CY 2016 through CY 2018, adjusted for the sites that will enter decommissioning during the first year of this clearance period. One hour is estimated per pre-access D&amp;A testing violation. The previous clearance estimated 568 individuals per year had a pre-access testing violation.</t>
  </si>
  <si>
    <r>
      <rPr>
        <u/>
        <sz val="10"/>
        <rFont val="Arial"/>
        <family val="2"/>
      </rPr>
      <t>Total Annual Burden Hours</t>
    </r>
    <r>
      <rPr>
        <sz val="10"/>
        <rFont val="Arial"/>
        <family val="2"/>
      </rPr>
      <t xml:space="preserve"> - 26.61(a), (a)(1) and (a)(2). The NRC staff estimates that a licensee or other entity will spend an average of 30 minutes (0.5 hour) to review, verify, and file information provided in an applicant’s self-disclosure and employment history. This activity is completed for each of the 68,285 individuals per year that apply for authorization at D&amp;A testing programs (i.e., the average number of pre-access tests performed from CY 2016 through CY 2018, adjusted for the sites that will enter decommissioning during the first year of this clearance period.</t>
    </r>
  </si>
  <si>
    <t>Number of Recordkeepers - 26.27(b). The NRC staff estimates 24 D&amp;A testing programs for this clearance period. The previous clearance estimated 26 D&amp;A testing programs.</t>
  </si>
  <si>
    <t>Number of Recordkeepers - 26.27(d). The NRC staff updated the calculation method to reflect burden by site instead of by fatigue management program. This method is a more accurate because NRC inspects the FFD program at each operating reactor site and each fuel cycle facility every 3 years. [54 operating sites + 2 fuel cycle facilities = 56 sites/3 years]
NRC internal note: Changed calculation method from FFD program to 1/3 of operating reactor and fuel cycle facility sites (inspections are performed every 3 years). Also reduced burden per recordkeeper based on the change</t>
  </si>
  <si>
    <t>Burden Hours per Recordkeeper 26.29(b). The NRC staff estimates that a D&amp;A testing program will spend 2 minutes (0.033 hour) per individual for the licensee or other entity to print and retain a record detailing training completion and examination results. The NRC staff estimates that 68,285 individuals will complete training each year. The 68,285 value is the average number of individuals pre-access tested from CY 2016 through CY 2018, adjusted for the sites that will enter decommissioning during the first year of this clearance. [0.033 hour per individual X 68,285 individuals per year = 2,276 hours per year / 24 D&amp;A testing programs = 94.8 hours per D&amp;A testing program per year]</t>
  </si>
  <si>
    <t>Burden Hours per Recordkeeper - 26.29(c)(2). The NRC staff estimates a 2-minute (0.033 hour) burden per individual for the licensee or other entity to print and retain a record detailing training completion. The NRC staff estimates that 85,916 individuals subject to a D&amp;A testing program (i.e., individuals subject to random testing) will complete annual refresher training. The 85,916 value is the annual average number of individuals subject to a random testing program from CY 2016 through CY 2018, adjusted for the sites that will enter decommissioning during the first year of this clearance period.</t>
  </si>
  <si>
    <t>Total Annual Burden Hours - 26.63(a), (c), and (e). The NRC staff estimates that a D&amp;A testing program will spend an average of 30 minutes (0.5 hour) to review, verify, and retain information provided in an applicant’s suitable inquiry. This activity is completed for each of the 68,285 individuals estimated to apply for authorization at D&amp;A testing programs per year (i.e., individuals pre-access tested).</t>
  </si>
  <si>
    <t>Total Annual Burden Hours - 26.69(c)(5). The NRC staff estimates that the licensee’s reviewing official will spend 1 minute (0.017 hour) per person to confirm that negative pre-access testing results have been received. An average of 68,285 individuals were pre-access tested from CY 2016 through CY 2018, adjusted for the sites that will enter decommissioning during the first year of this clearance period.</t>
  </si>
  <si>
    <t>Total Annual Burden Hours - 26.75(h). The NRC staff estimates that 260 for-cause tests will be performed by D&amp;A testing programs each year. The 260 value is the average number of for-cause tests performed from CY 2016 through CY 2018, adjusted for the sites that will enter decommissioning during the first year of this clearance period. The NRC staff estimates burden at 1.0 hour per for-cause testing instance. The previous clearance estimated 405 for-cause tests per year.</t>
  </si>
  <si>
    <t>Burden Hours per Recordkeeper - 26.91(e)(5). The previous clearance estimated 6.0 hours per FFD program to account for recordkeeping of EBT maintenance records. This recordkeeping burden also was accounted for under 26.715(b)(14). This duplication of burden has been eliminated in this clearance.</t>
  </si>
  <si>
    <t>Burden Hours per Recordkeeper - 26.107(b). For this clearance period, the NRC staff improved the accuracy of the burden estimation calculation by utilizing subversion attempt information reported in 26.717 annual FFD program performance data and consolidating burden associated with subversion attempt actions under 26.109(b)(3) and (b)(4), 26.111(b) and (c), and 26.115(b), (d), and (f)(3), which may overlap for a single subversion event. The NRC estimates that 128 subversion attempts occur each year and that for each subversion attempt, a burden of 0.25 hours would be incurred to document observations and complete required notification activities. The 128 value is the average annual number of subversions from CY 2019 through CY 2021 reported by D&amp;A testing programs (98 in CY 2016, 133 in CY 2017, and 152 in CY 2018). 
NRC internal note: Changed burden estimate to utilize subversion attempt data collected in 26.717 annual reports. Consolidated subversion attempt burden estimated under 26.107(b), included 26.109(b)(3) and 26.115(b).</t>
  </si>
  <si>
    <t xml:space="preserve">Burden Hours per Recordkeeper - 26.117(c) - (e). The NRC staff estimates that a collector spends 2 minutes (0.033 hour) per specimen collection to prepare the specimen ID labels, CCF, and specimen packaging for shipment. The average number of specimen collections completed in a year, from CY 2016 through CY 2018, adjusted for the sites that will enter decommissioning during the first year of this clearance period is 122,016. </t>
  </si>
  <si>
    <t>Number of Recordkeepers - 26.125(b) and (c). In 2017, one D&amp;A testing program with three (3) sites ceased using LTFs. The previous clearance reported that six (6) sites used an LTF for drug and validity testing.</t>
  </si>
  <si>
    <t xml:space="preserve">Burden Hours per Recordkeeper - 26.165(b)(6). The NRC staff estimates that 28 individuals each year will request a retest of a specimen that is drug positive, adulterated, or substituted. The 28 value is 5 percent of the 559 test results that meet this category from CY 2016 through CY 2018, adjusted for the sites that will enter decommissioning during the first year of this clearance period. An MRO is estimated to spend 1.0 hour to contact the initial testing laboratory (LTF or HHS lab) to process the request to send the donor’s specimen to a second HHS lab, to review the test results received from the second HHS lab, communicate the test result to the donor, and notify FFD management. </t>
  </si>
  <si>
    <t xml:space="preserve">Burden Hours per Recordkeeper - 26.169(f). All HHS labs electronically report the results of drug and validity testing of specimens to the MRO. A review of FFD program performance data from D&amp;A testing programs from CY 2016 through CY 2018 indicates that an average of 122,016 drug tests were completed each year, adjusted for the sites that will enter decommissioning during the first year of this clearance period. The NRC staff estimates burden at 30 seconds (0.0083 hour) per record reviewed. The previous clearance estimated a 164,270 drug tests conducted each year. </t>
  </si>
  <si>
    <t>Burden Hours per Recordkeeper - 26.183(c)(1). The NRC staff estimates 559 drug positive, adulterated, substituted, and refusal to test results each year, which is the average number of these test results reported by D&amp;A testing programs from CY 2016 through CY 2018 (adjusted for the sites that will enter decommissioning during the first year of this clearance period). The NRC staff estimates burden at 5 minutes (0.083 hour) per MRO review of an individual’s test results.</t>
  </si>
  <si>
    <t xml:space="preserve">Burden Hours per Recordkeeper - 26.183(d)(1)(ii)(D). The NRC staff estimates that the MRO or MRO staff will spend 5 minutes (0.083 hour) per drug positive, adulterated, substituted and refusal to test result to communicate the determination to the licensee’s designated reviewing official. The number of records reviewed (559) per year is discussed under section 26.183(c)(1). </t>
  </si>
  <si>
    <t>The previous clearance estimated 0.5 hours per request received by the MRO. The burden for this activity was already accounted for under 26.165(b)(6). As a result, this duplication of burden has been eliminated in this clearance.</t>
  </si>
  <si>
    <t>Number of Recordkeepers - 26.205(b). The NRC staff updated the calculation method to reflect burden by operating reactor site instead of by fatigue management program. This estimation method is more accurate because work activity is performed at the site level. The number of operating reactor sites will decrease from 54 in the first year of the clearance period, to 51 in the second and third years of the clearance period. The average number of operating reactor sites per year for this clearance period is 52. These comments also apply to sections 26.205(c), (d)(1) and (2), (e)(1) through (e)(4), section 26.207(a)(4), and section 26.211(f). 
NRC internal notes:
(1) Changed calculation method from program to site to improve estimate accuracy. For comparison on burden hours per recordkeeper by site, the last clearance value = (3,360 hrs/59 sites) = 56.9 hrs/site. The 50 hrs/site is a 12% decrease in estimated burden.
(2) Final package change # of recordkeepers (3 sites DECON in yr 1 so (54+51+51 sites) / 3 yrs = 52 sites/yr</t>
  </si>
  <si>
    <t>Number of Recordkeepers - 26.205(c). The NRC staff updated the calculation method to reflect burden by operating reactor site instead of by fatigue management program. The previous clearance estimated a total annual burden of 43,680 hours, which equates to an average annual burden per site of 740 hours (43,680 hours/59 sites). For the current clearance, the NRC has estimated an average annual burden per site of 720 hours (a 2.74% decrease in estimated burden per site from the previous clearance). That change in estimated burden per site is based on process efficiency improvements, as discussed in Section 15 “Reasons for the Change in Burden or Cost” of this supporting statement under “(4) Fatigue Management Programs (Part 26, Subpart I).” The majority of the decrease in burden in this clearance is because 7 reactor sites permanently ceased operating (i.e., the prior clearance value = 740 hours per site x 7 sites = 5,180 hours; current clearance value = 720 hours x 7 sites = 5,040; 5,180 hours – 5,040 hours = 140 hour difference). 
NRC internal notes: 
(1) Changed calculation method from program to site to improve estimate accuracy. For comparison on burden hours per recordkeeper by site, the last clearance value = (43,680 hrs/59 sites) = 740.3 hrs/site. The 720 hrs/site is a 2.74% decrease in estimated burden.
(2) Final package change # of recordkeepers (3 sites DECON in yr 1 so (54+51+51 sites) / 3 yrs = 52 sites/yr</t>
  </si>
  <si>
    <t>NRC internal notes:
(1) Changed calculation method from program to site to improve estimate accuracy. For comparison on burden hours per recordkeeper by site, the last clearance value = (420 hrs/59 sites) = 7.1 hrs/site. The 6 hrs/site is a 15.5% decrease in estimated burden.
(2) Final package change # of recordkeepers (3 sites DECON in yr 1 so (54+51+51 sites) / 3 yrs = 52 sites/yr</t>
  </si>
  <si>
    <t>NRC internal notes:
(1) Changed calculation method from program to site to improve estimate accuracy. For comparison on burden hours per recordkeeper by site, the last clearance value = (1,050 hrs/59 sites) = 17.8 hrs/site. The 16 hrs/site is a 10% decrease in estimated burden.
(2) Final package change # of recordkeepers (3 sites DECON in yr 1 so (54+51+51 sites) / 3 yrs = 52 sites/yr</t>
  </si>
  <si>
    <t>Number of Recordkeepers - 26.403(a). Construction at Vogtle Unit 4 will continue for a short duration of time in the current clearance period, with fuel load anticipated in November 2021. As a result, the reactor construction site D&amp;A testing program will only function for one of the three years of this clearance. Therefore, 0.3 program is reflected in this table for activities performed under sections 26.403, 26.405, 26.411, and 26.417.</t>
  </si>
  <si>
    <t xml:space="preserve">Total Annual Burden Hours - 26.405(b). FFD program performance data from CY 2016 through CY 2018 indicate that the reactor construction site D&amp;A testing program conducted an average of 5,861 random tests per year (4,534 in CY 2016; 5,926 in CY 2017; 7,123 in CY 2018). The previous clearance estimated an average of 4,653 random tests per year. The NRC staff estimates burden at 5 minutes (0.083 hour) to document a random test result. </t>
  </si>
  <si>
    <t>Number of Recordkeepers - 26.717(a) and (b). The NRC staff updated the calculation method to reflect burden by site instead of by FFD program. It is more accurate to estimate burden by the number of licensee and other entity sites because test result data are reported on a per site basis. This method of calculation also was updated for fatigue management programs.
NRC internal notes:
(1) Changed calculation method from program to site to improve estimate accuracy
(2) Final package change # of recordkeepers form 62 to 60 due to 3 operating reactor sites DECON in yr 1 so (62+59+59 sites) /3 yrs = 60 sites/yr</t>
  </si>
  <si>
    <t>Number of Recordkeepers - 26.719(b). NRC estimates that licensee and other entities will submit 36 reports per year under section 26.719(b). This value is the average number of section 26.719(b) reports received from CY 2016 through CY 2018 (32 reports in 2016, 31 reports in 2017, and 45 reports in 2018). The previous clearance estimated 37 reports per year.</t>
  </si>
  <si>
    <t xml:space="preserve">Number of Recordkeepers - 26.719(c). The NRC staff estimates that six (6) reports will be received per year under 26.719(c). This value is the average number of reports received per year from CY 2016 through CY 2018 (3 reports in 2016, 12 reports in 2017, 4 reports in 2018). The previous clearance estimated eight (8) reports per year. 
 </t>
  </si>
  <si>
    <t>26.187(f): Documentation of SAE credentials and training</t>
  </si>
  <si>
    <t>26.205(d)(1): Record of implementation of work hour controls</t>
  </si>
  <si>
    <r>
      <rPr>
        <u/>
        <sz val="10"/>
        <color rgb="FF000000"/>
        <rFont val="Arial"/>
        <family val="2"/>
      </rPr>
      <t>Number of Respondents</t>
    </r>
    <r>
      <rPr>
        <sz val="10"/>
        <color rgb="FF000000"/>
        <rFont val="Arial"/>
        <family val="2"/>
      </rPr>
      <t xml:space="preserve"> - 26.9. No licensing exemption requests for fatigue management program requirements are anticipated for the current clearance period.
The previous clearance estimated that 40 operating nuclear power reactor sites would seek work hour controls exemptions due to the COVID-19 public health emergency (PHE) (i.e., using a COVID-19 Work Hour Controls Exemption Request form). The COVID-19 PHE declaration ended on May 11, 2023. As a result, the annual burden associated with these COVID-19 exemption requests has been eliminated from the current clearance period.</t>
    </r>
  </si>
  <si>
    <t>Number of Respondents</t>
  </si>
  <si>
    <t>Responses per 
Respondent</t>
  </si>
  <si>
    <r>
      <rPr>
        <u/>
        <sz val="10"/>
        <color theme="1"/>
        <rFont val="Arial"/>
        <family val="2"/>
      </rPr>
      <t>Number of Respondents</t>
    </r>
    <r>
      <rPr>
        <sz val="10"/>
        <color theme="1"/>
        <rFont val="Arial"/>
        <family val="2"/>
      </rPr>
      <t xml:space="preserve"> - 26.717 (D&amp;A Testing). Annually, an average of 60 sites (53 operating nuclear power reactor sites; 2 Category 1 special nuclear material (SNM) sites, 4 corporate FFD programs, and 1 C/V) each submit FFD program performance report information to the NRC on D&amp;A test results using NRC Forms 890 and 891.
The previous clearance reported the same 60 sites per year average, but the mix of sites was different (54 operating nuclear power reactor sites in the first year of the clearance period and 51 sites in years two and three of the clearance period due to three sites permanently ceasing operations; 2 Category 1 SNM sites, 5 corporate FFD programs, and 1 C/V).</t>
    </r>
  </si>
  <si>
    <r>
      <rPr>
        <u/>
        <sz val="10"/>
        <color rgb="FF000000"/>
        <rFont val="Arial"/>
        <family val="2"/>
      </rPr>
      <t>Number of Respondents</t>
    </r>
    <r>
      <rPr>
        <sz val="10"/>
        <color rgb="FF000000"/>
        <rFont val="Arial"/>
        <family val="2"/>
      </rPr>
      <t xml:space="preserve"> - 26.717 (Fatigue Management). Annually, each</t>
    </r>
    <r>
      <rPr>
        <sz val="10"/>
        <color theme="1"/>
        <rFont val="Arial"/>
        <family val="2"/>
      </rPr>
      <t xml:space="preserve"> operating nuclear power reactor site</t>
    </r>
    <r>
      <rPr>
        <sz val="10"/>
        <color rgb="FF000000"/>
        <rFont val="Arial"/>
        <family val="2"/>
      </rPr>
      <t xml:space="preserve"> will submit an FFD program performance report to the NRC on fatigue management using NRC Form 892. The reporting burden to develop the content of the fatigue management reports is accounted for under 26.203(e)(1) and (e)(2). This line item only pertains to the burden hours to produce the report and submit it to the NRC.</t>
    </r>
  </si>
  <si>
    <t xml:space="preserve">The 2022 Part 26 final rule included this new requirement on required collector actions in instances when a refusal to test is determined during the collection process. </t>
  </si>
  <si>
    <t xml:space="preserve">Number of Responses - 26.67. The NRC estimates that licensees and other entities will randomly D&amp;A test 341 individuals per year that have applied for authorization, but before authorization had been granted (i.e., 0.5 percent of the 68,285 individuals that apply for authorization at a D&amp;A testing program each year). The previous clearance estimated 406 individuals per year (i.e., 0.5 percent of 81,219 pre-access tests). </t>
  </si>
  <si>
    <t>26.89(b)(3): Record FFD management informed that an individual did not present identification (non-licensee collection site)</t>
  </si>
  <si>
    <t>26.107(b): Collector documents tampering attempt on the Federal CCF (non-licensee collection site)</t>
  </si>
  <si>
    <t xml:space="preserve">Number of Responses - 26.168(a). FFD program performance data from CY 2019 reflects that only one (1) BPTS supplier is used by licensees and other entities. The previous clearance reported two (2) BPTS suppliers. This assumption also applies to section 26.168(h)(2). </t>
  </si>
  <si>
    <t>Number of Responses - 26.169(c)(1). This estimate presents the total number of drug positive, adulterated, and substituted test results (559) reported to MROs by HHS labs from CY 2016 through CY 2018 for all D&amp;A testing programs, adjusted for the sites that will enter decommissioning during the first year of this clearance period adjusted. The previous clearance estimated 621 results per year.</t>
  </si>
  <si>
    <t>Burden Hours per Recordkeeper - 26.185(j). The NRC staff estimates that an MRO will spend an average of 1.0 hour to review a positive test result associated with the use of a prescription medication. This activity consists of obtaining information from the donor and confirming the information with a prescribing physician or pharmacy. The NRC staff estimates 60 positive results each year associated with legitimate medical use.</t>
  </si>
  <si>
    <t xml:space="preserve">Number of Responses - 26.411(b). The NRC estimates 6,514 individuals per year provide a signed consent form (i.e., the average number of pre-assignment tests performed by the reactor construction site D&amp;A testing program from CY 2016 through CY 2018 (6,220 in CY 2016, 5,832 in CY 2017, and 7,489 in CY 2018). Construction at Vogtle Unit 4 will continue for a short duration of time in the current clearance period, with fuel load anticipated in November 2021. As a result, the reactor construction site D&amp;A testing program will only function for one of the three years of this clearance. Therefore, the value of 6,514 individuals per year has been divided by 3 to provide an annualized value of 2,171. The NRC estimates that each applicant will spend 15 minutes (0.25 hour) reviewing and then signing a written consent. 
</t>
  </si>
  <si>
    <t xml:space="preserve">Burden Hours per Response - 26.29(c)(2). The NRC estimates 1.5 burden hours per individual to complete annual refresher training (i.e., completing the NANTeL Generic FFD and Behavioral Observation training, or equivalent). The NRC estimates that 85,917 individuals will complete annual refresher training each year (this value is the average number of individuals subject to a random testing program from CY 2016 through CY 2018, adjusted for the sites that will enter decommissioning during the first year of this clearance period. This assumption overestimates the burden for annual refresher training because some individuals in the random testing program will have received initial training each year. However, no data were available to address this issue. The previous clearance estimated 103,933 individuals per year. </t>
  </si>
  <si>
    <t xml:space="preserve">Number of Responses - 26.31(b)(1)(i). The NRC estimates that an average of five (5) individuals each year per site with a D&amp;A testing program will apply for authorization to serve as FFD program personnel. </t>
  </si>
  <si>
    <r>
      <rPr>
        <u/>
        <sz val="10"/>
        <rFont val="Arial"/>
        <family val="2"/>
      </rPr>
      <t>Number of Responses</t>
    </r>
    <r>
      <rPr>
        <sz val="10"/>
        <rFont val="Arial"/>
        <family val="2"/>
      </rPr>
      <t xml:space="preserve"> - 26.63(c)(2). It is estimated that 2 percent of former employers refuse to provide information (i.e., 2 percent of the 60,257 pre-access tests conducted annually).</t>
    </r>
  </si>
  <si>
    <r>
      <rPr>
        <u/>
        <sz val="10"/>
        <rFont val="Arial"/>
        <family val="2"/>
      </rPr>
      <t>Number of Responses</t>
    </r>
    <r>
      <rPr>
        <sz val="10"/>
        <rFont val="Arial"/>
        <family val="2"/>
      </rPr>
      <t xml:space="preserve"> - 26.165(b)(1). It is estimated that 5 percent of the 738 confirmed drug positive, adulterated, and substituted test results each year will be processed by the initial HHS lab and sent for retesting at a second HHS lab at the direction of the MRO.</t>
    </r>
  </si>
  <si>
    <t xml:space="preserve">The 2022 Part 26 final rule eliminated the duplicative requirements in 26.155, "Laboratory personnel." As a result, this personnel file retention requirement applicable to HHS labs has been removed. </t>
  </si>
  <si>
    <r>
      <rPr>
        <u/>
        <sz val="10"/>
        <rFont val="Arial"/>
        <family val="2"/>
      </rPr>
      <t>No. Actions/Year</t>
    </r>
    <r>
      <rPr>
        <sz val="10"/>
        <rFont val="Arial"/>
        <family val="2"/>
      </rPr>
      <t xml:space="preserve"> - 26.417(b)(2). An annual FFD program performance report is submitted by each reactor construction site D&amp;A testing program. In the first two years of this clearance period, no reports will be submitted because no reactors will be under construction. In year three of this clearance period, the NRC estimates that 4 SMR construction site D&amp;A testing programs will submit a report. Because the values in this table are annualized, 4 reports in clearance year 3 / 3 years of the clearance  = 1.3 reports / year.
The prior clearance estimated 0.3 actions per year, consistent with the assumption that the reactor construction at Vogtle Unit 4 would be complete in the first year of the clearance period (1 report / 3 years  = 0.3 reports / year)</t>
    </r>
  </si>
  <si>
    <r>
      <rPr>
        <u/>
        <sz val="10"/>
        <rFont val="Arial"/>
        <family val="2"/>
      </rPr>
      <t>Burden Hours per Response</t>
    </r>
    <r>
      <rPr>
        <sz val="10"/>
        <rFont val="Arial"/>
        <family val="2"/>
      </rPr>
      <t xml:space="preserve"> - 26.29(b). Each individual spends 1.5 hours to complete the standard web-based training used by industry (National Academy for Nuclear Training e-Learning (NANTeL) Generic FFD and Behavioral Observation training or equivalent) + 0.5 hours per individual to complete the comprehensive examination. 
It is estimated that 60,257 individuals complete initial training each year (i.e., the average annual number of individuals receiving a pre-access test in CYs 2019, 2020, and 2021). The previous clearance estimated training completion by 68,285 individuals per year. </t>
    </r>
  </si>
  <si>
    <r>
      <rPr>
        <u/>
        <sz val="10"/>
        <rFont val="Arial"/>
        <family val="2"/>
      </rPr>
      <t>Number of Responses</t>
    </r>
    <r>
      <rPr>
        <sz val="10"/>
        <rFont val="Arial"/>
        <family val="2"/>
      </rPr>
      <t xml:space="preserve"> - 26.93(a)(6). It is estimated that 10 individuals per D&amp;A testing program each year (24 programs x 10 individuals = 240) are FFD program personnel not located at the reactor site, Category I SNM site, or C/V site where collections are typically made and will be tested at a U.S. Department of Transportation compliant collection site as permitted by 26.31(b)(2). This assumption also applies to 26.95(b)(5), and 26.117(c) - (e) in Table 4.</t>
    </r>
  </si>
  <si>
    <t xml:space="preserve">The 2022 Part 26 final rule eliminated duplicative records maintenance requirements (i.e., HHS lab procedures already maintained under the HHS Guidelines) and revised 26.157(a) to clarify that the HHS lab only must maintain written procedures specific to Part 26 for specimen accession, receipt, shipment, and testing.
It is estimated that an HHS lab will spend 2.0 hour per D&amp;A testing program to maintain procedures specific to Part 26. </t>
  </si>
  <si>
    <r>
      <rPr>
        <u/>
        <sz val="10"/>
        <rFont val="Arial"/>
        <family val="2"/>
      </rPr>
      <t>Number of Responses</t>
    </r>
    <r>
      <rPr>
        <sz val="10"/>
        <rFont val="Arial"/>
        <family val="2"/>
      </rPr>
      <t xml:space="preserve"> - 26.185(n). It is estimated that 5 percent of the 738 specimens with a drug positive, adulterated, or substituted test result each year will be retested at a second HHS lab at the request of the donor.</t>
    </r>
  </si>
  <si>
    <r>
      <rPr>
        <u/>
        <sz val="10"/>
        <rFont val="Arial"/>
        <family val="2"/>
      </rPr>
      <t>Number of Responses</t>
    </r>
    <r>
      <rPr>
        <sz val="10"/>
        <rFont val="Arial"/>
        <family val="2"/>
      </rPr>
      <t xml:space="preserve"> - 26.165(b)(3). It is estimated that for 5 percent of the 738 specimens with a drug positive, adulterated, and substituted test result each year the donor will provide the MRO with a request to perform specimen retesting at a second HHS lab. </t>
    </r>
  </si>
  <si>
    <r>
      <rPr>
        <u/>
        <sz val="10"/>
        <rFont val="Arial"/>
        <family val="2"/>
      </rPr>
      <t>Burden Hours per Response</t>
    </r>
    <r>
      <rPr>
        <sz val="10"/>
        <rFont val="Arial"/>
        <family val="2"/>
      </rPr>
      <t xml:space="preserve"> - 26.185(c). It is estimated that a donor spends an average of 15 minutes (0.25 hour) discussing an HHS lab test result with the MRO. The previous clearance estimated an average of 30 minutes (0.5 hour) per discussion, which is too high. For the MRO to verify a drug or validity test result as an FFD policy violation, no legitimate medical explanation is provided by the donor. The discussion with the donor in these instances is limited in duration. For instances where a legitimate medical explanation exists, the donor discussion is longer (see 26.185(j)).
The average annual number of drug positive, adulterated, and substituted test results from CY 2019 through CY 2021 is 738. The previous clearance estimated 559 results per year.</t>
    </r>
  </si>
  <si>
    <r>
      <rPr>
        <u/>
        <sz val="10"/>
        <rFont val="Arial"/>
        <family val="2"/>
      </rPr>
      <t>Total Annual Burden Hours</t>
    </r>
    <r>
      <rPr>
        <sz val="10"/>
        <rFont val="Arial"/>
        <family val="2"/>
      </rPr>
      <t xml:space="preserve"> - 26.189(c). It is estimated that 171 for-cause tests will be performed by D&amp;A testing programs each year (i.e., the average number of for-cause tests performed from CY 2019 through CY 2021). It is estimated that a D&amp;A testing program will spend 1 hour to evaluate an individual and document the criteria met to conduct for-cause testing. The previous clearance estimated 260 for-cause tests performed each year.</t>
    </r>
  </si>
  <si>
    <r>
      <rPr>
        <u/>
        <sz val="10"/>
        <rFont val="Arial"/>
        <family val="2"/>
      </rPr>
      <t>Burden Hours per Recordkeeper</t>
    </r>
    <r>
      <rPr>
        <sz val="10"/>
        <rFont val="Arial"/>
        <family val="2"/>
      </rPr>
      <t xml:space="preserve"> - 26.185(j). It is estimated that an MRO spends an average of 1 hour to review a positive test result associated with the use of a prescription medication. This activity consists of obtaining information from the donor and confirming the information with a prescribing physician or pharmacy. 
The NRC staff estimates 92 positive results each year associated with legitimate medical use, which is adjusted for the estimated increase in detection as a result of the 2022 Part 26 final rule changes. The previous clearance estimated 60 positive results per year.</t>
    </r>
  </si>
  <si>
    <r>
      <rPr>
        <u/>
        <sz val="10"/>
        <rFont val="Arial"/>
        <family val="2"/>
      </rPr>
      <t>Burden Hours per Recordkeeper</t>
    </r>
    <r>
      <rPr>
        <sz val="10"/>
        <rFont val="Arial"/>
        <family val="2"/>
      </rPr>
      <t xml:space="preserve"> - 26.165(b)(6). An MRO is estimated to spend 1 hour to: contact the initial HHS lab that performed testing and request that a donor’s specimen be sent to a second HHS lab; review the test results received from the second HHS lab; communicate the test result to the donor; and notify FFD management.
It is estimated that 37 individuals each year will request the retesting of a specimen that is drug positive, adulterated, or substituted. The 37 value is 5 percent of the 738 test results that meet this category from CY 2019 through CY 2021, adjusted for the estimated increase in detection as a result of the 2022 Part 26 final rule.
The previous clearance estimated 28 retest requests per year.</t>
    </r>
  </si>
  <si>
    <r>
      <rPr>
        <u/>
        <sz val="10"/>
        <rFont val="Arial"/>
        <family val="2"/>
      </rPr>
      <t>Burden Hours per Recordkeeper</t>
    </r>
    <r>
      <rPr>
        <sz val="10"/>
        <rFont val="Arial"/>
        <family val="2"/>
      </rPr>
      <t xml:space="preserve"> - 26.185(j). For a positive drug test result due to a legitimate medical use, it is estimated that a donor spends an average of 1 hour discussing the test result with the MRO and then obtaining and providing requested information to the MRO on medication use. 
The NRC staff estimates 92 positive results each year associated with legitimate medical use, which is adjusted for the estimated increase in detection as a result of the 2022 Part 26 final rule changes. The previous clearance estimated 60 positive results per year.</t>
    </r>
  </si>
  <si>
    <t>26.715(b)(9): HHS lab performance records on certification inspections</t>
  </si>
  <si>
    <t>Previous ROCIS Total</t>
  </si>
  <si>
    <t xml:space="preserve">26.4(j): For personnel granted authorization by a licensee, who are covered by the D&amp;A testing program regulated by a State or Federal agency – (1) record of training that demonstrates 26.29(a) training requirements met (if not already covered by the program); (2) record of notice of any FFD policy violation </t>
  </si>
  <si>
    <r>
      <rPr>
        <u/>
        <sz val="10"/>
        <rFont val="Arial"/>
        <family val="2"/>
      </rPr>
      <t>Burden Hours per Recordkeeper</t>
    </r>
    <r>
      <rPr>
        <sz val="10"/>
        <rFont val="Arial"/>
        <family val="2"/>
      </rPr>
      <t xml:space="preserve"> - 26.169(f). All HHS labs electronically report drug and validity test results to the MRO. A burden of 30 seconds (0.0083 hour) is estimated per record. 
It is estimated that an average of 107,331 specimens per year will be tested at HHS labs (i.e., the average number of drug tests completed from CY 2019 through CY 2021). The previous clearance estimated that 122,016 specimens would be tested each year by HHS labs. </t>
    </r>
  </si>
  <si>
    <r>
      <rPr>
        <u/>
        <sz val="10"/>
        <rFont val="Arial"/>
        <family val="2"/>
      </rPr>
      <t>Number of Recordkeepers</t>
    </r>
    <r>
      <rPr>
        <sz val="10"/>
        <rFont val="Arial"/>
        <family val="2"/>
      </rPr>
      <t xml:space="preserve"> - 26.27(d). The NRC inspects the FFD program at each operating reactor site and each Category I special nuclear material (SNM) site every 3 years. (53 reactor sites + 2 Category I SNM sites = 55 sites / 3 years = 18 sites per year)</t>
    </r>
  </si>
  <si>
    <t>26.715(b)(9): Performance records on HHS-certified lab inspections.</t>
  </si>
  <si>
    <r>
      <rPr>
        <u/>
        <sz val="10"/>
        <rFont val="Arial"/>
        <family val="2"/>
      </rPr>
      <t>Total Annual Burden Hours</t>
    </r>
    <r>
      <rPr>
        <sz val="10"/>
        <rFont val="Arial"/>
        <family val="2"/>
      </rPr>
      <t xml:space="preserve"> - 26.61(a), (a)(1) and (a)(2). A D&amp;A testing program is estimated to spend an average of 30 minutes (0.5 hour) to review, verify, and file information provided in an applicant’s self-disclosure and employment history. This activity is completed for each of the 60,257 individuals per year that apply for authorization at D&amp;A testing programs (i.e., the average number of pre-access tests performed from CY 2019 through CY 2021). The previous clearance estimated that 68,285 individuals applied for authorization each year.</t>
    </r>
  </si>
  <si>
    <r>
      <rPr>
        <u/>
        <sz val="10"/>
        <rFont val="Arial"/>
        <family val="2"/>
      </rPr>
      <t>Total Annual Burden Hours</t>
    </r>
    <r>
      <rPr>
        <sz val="10"/>
        <rFont val="Arial"/>
        <family val="2"/>
      </rPr>
      <t xml:space="preserve"> - 26.63(a), (c), and (e). A D&amp;A testing program is estimated to spend an average of 30 minutes (0.5 hour) to review, verify, and retain information provided in an applicant’s suitable inquiry. This activity is completed for each of the 60,257 individuals estimated to apply for authorization at D&amp;A testing programs per year (i.e., individuals pre-access tested). The previous clearance estimated that 68,285 individuals applied for authorization each year.</t>
    </r>
  </si>
  <si>
    <t>The 2022 Part 26 final rule consolidated collector training requirements into 26.85(a). Prior to the final rule, the collector requirements appeared under 26.85(a) for urine collectors and 26.85(b) for alcohol collectors. This change did not affect the estimated burden for training.</t>
  </si>
  <si>
    <r>
      <rPr>
        <u/>
        <sz val="10"/>
        <color rgb="FF000000"/>
        <rFont val="Arial"/>
        <family val="2"/>
      </rPr>
      <t>Number of Respondents</t>
    </r>
    <r>
      <rPr>
        <sz val="10"/>
        <color rgb="FF000000"/>
        <rFont val="Arial"/>
        <family val="2"/>
      </rPr>
      <t xml:space="preserve"> - 26.203(e)(1). Annually, an average of 53 operating nuclear power reactor sites will be subject to the fatigue management program requirements.
This assumption also applies to the requirements in Table 3 for 26.203(e)(2) and 26.717 (Fatigue Management).
In the previous clearance, the number of operating reactor sites was estimated to decrease from 54 in the first year of the clearance period to 51 in the second and third years of the clearance period (i.e., the average number of operating reactor sites per year for that clearance was 52). Two of those operating reactor sites did not shutdown, thus the return to 53 operating reactor sites for the current clearance period.</t>
    </r>
  </si>
  <si>
    <r>
      <rPr>
        <u/>
        <sz val="10"/>
        <color rgb="FF000000"/>
        <rFont val="Arial"/>
        <family val="2"/>
      </rPr>
      <t>Number of Respondents</t>
    </r>
    <r>
      <rPr>
        <sz val="10"/>
        <color rgb="FF000000"/>
        <rFont val="Arial"/>
        <family val="2"/>
      </rPr>
      <t xml:space="preserve"> - 26.417(b)(2). 
The NRC staff estimates that construction activities will begin at four (4) SMR construction sites in year 3 of this clearance period. 
(4 SMR sites in year 3 / 3 years to annualize the value = 1.3 sites / year)</t>
    </r>
  </si>
  <si>
    <r>
      <t xml:space="preserve">Extension </t>
    </r>
    <r>
      <rPr>
        <sz val="10"/>
        <rFont val="Arial"/>
        <family val="2"/>
      </rPr>
      <t>(October 2024 - September 2027)</t>
    </r>
  </si>
  <si>
    <r>
      <rPr>
        <u/>
        <sz val="10"/>
        <rFont val="Arial"/>
        <family val="2"/>
      </rPr>
      <t xml:space="preserve">Total Annual Burden Hours </t>
    </r>
    <r>
      <rPr>
        <sz val="10"/>
        <rFont val="Arial"/>
        <family val="2"/>
      </rPr>
      <t>- 26.39(b). A D&amp;A testing program is estimated to spend 2.75 hours per individual with an FFD policy violation to develop a written notification on the FFD policy violation and review procedures. D&amp;A testing programs typically use a standard notification letter and include specific information about the FFD policy violation, denial period, and method to appeal the decision. 
It is estimated that 892 individuals per year will have an FFD policy violation. The 892 value is the average number of drug and alcohol testing violations from CY 2019 through CY 2021, adjusted for the estimated increase in detection as a result of the 2022 Part 26 final rule. The previous clearance estimated that 721 individuals would have an FFD policy violation each year.</t>
    </r>
  </si>
  <si>
    <r>
      <rPr>
        <u/>
        <sz val="10"/>
        <rFont val="Arial"/>
        <family val="2"/>
      </rPr>
      <t>Number of Responses</t>
    </r>
    <r>
      <rPr>
        <sz val="10"/>
        <rFont val="Arial"/>
        <family val="2"/>
      </rPr>
      <t xml:space="preserve"> - 26.169(c)(1). It is estimated that 738 drug positive, adulterated, and substituted test results will be reported by HHS labs to MROs each year. The 738 value is the average number of drug positive (including dilute positive), adulterated, and substituted test results from CY 2019 through CY 2021 for all D&amp;A testing programs, adjusted for the estimated increase in detection as a result of the 2022 Part 26 final rule. The previous clearance estimated 559 results per year. </t>
    </r>
  </si>
  <si>
    <t>Burden accounted for under 
26.31(d)(3)(iii)(A) and (d)(3)(iii)(C)</t>
  </si>
  <si>
    <r>
      <rPr>
        <u/>
        <sz val="10"/>
        <rFont val="Arial"/>
        <family val="2"/>
      </rPr>
      <t>Number of Recordkeepers</t>
    </r>
    <r>
      <rPr>
        <sz val="10"/>
        <rFont val="Arial"/>
        <family val="2"/>
      </rPr>
      <t xml:space="preserve"> - 26.27(b). The NRC staff estimates 24 D&amp;A testing programs for this clearance period, which is the same as in the previous clearance.</t>
    </r>
  </si>
  <si>
    <r>
      <rPr>
        <u/>
        <sz val="10"/>
        <rFont val="Arial"/>
        <family val="2"/>
      </rPr>
      <t>Burden Hours per Recordkeeper</t>
    </r>
    <r>
      <rPr>
        <sz val="10"/>
        <rFont val="Arial"/>
        <family val="2"/>
      </rPr>
      <t xml:space="preserve"> 26.29(b). A D&amp;A testing program is estimated to spend 2 minutes (0.033 hour) per individual to print and retain a record detailing training completion and examination results. It is estimated that 60,257 individuals will complete training each year. The 60,257 value is the average number of individuals pre-access tested from CY 2019 through CY 2021. (0.033 hour per individual X 60,257 individuals per year = 2,008.6 hours per year / 24 D&amp;A testing programs = 83.7 hours per D&amp;A testing program per year) 
The previous clearance estimated that 68,285 individuals would be pre-access tested each year. </t>
    </r>
  </si>
  <si>
    <t>26.41(a), (b), and (c)(1): Record of audits</t>
  </si>
  <si>
    <r>
      <rPr>
        <u/>
        <sz val="10"/>
        <rFont val="Arial"/>
        <family val="2"/>
      </rPr>
      <t>Number of Recordkeepers</t>
    </r>
    <r>
      <rPr>
        <sz val="10"/>
        <rFont val="Arial"/>
        <family val="2"/>
      </rPr>
      <t xml:space="preserve"> - 26.39(e). Only one C/V, the Institute of Nuclear Power Operations (INPO), maintains an independent D&amp;A testing program under Part 26. All other C/Vs fall under licensee D&amp;A testing programs and would not be subject to this recordkeeping requirement. INPO reported 1 positive test result from CY 2019 through CY 2021. The annual estimated recordkeeper is reported as 0.3 programs to reflect 1 positive result / 3 years for the INPO D&amp;A testing program.</t>
    </r>
  </si>
  <si>
    <r>
      <rPr>
        <u/>
        <sz val="10"/>
        <rFont val="Arial"/>
        <family val="2"/>
      </rPr>
      <t>Total Annual Burden Hours</t>
    </r>
    <r>
      <rPr>
        <sz val="10"/>
        <rFont val="Arial"/>
        <family val="2"/>
      </rPr>
      <t xml:space="preserve"> - 26.53(h). A D&amp;A testing program is estimated to spend 3 minutes (0.05 hour) to file a signed consent form received from an individual before initiating a pre-access test. Most of the burden for reading and signing the consent form is accounted for as third-party burden in Table 4
D&amp;A testing programs are estimated to obtain written consent from 60,257 individuals per year, which is the average number of individuals with pre-access tests from CY 2019 through CY 2021. The previous clearance estimated 68,285 individuals per year would complete this activity.</t>
    </r>
  </si>
  <si>
    <t>Burden accounted for under 
26.183(d)(1)(ii)(D) and 26.183(d)(2)(i)</t>
  </si>
  <si>
    <r>
      <rPr>
        <u/>
        <sz val="10"/>
        <rFont val="Arial"/>
        <family val="2"/>
      </rPr>
      <t>Total Annual Burden Hours</t>
    </r>
    <r>
      <rPr>
        <sz val="10"/>
        <rFont val="Arial"/>
        <family val="2"/>
      </rPr>
      <t xml:space="preserve"> - 26.75(h). It is estimated that a D&amp;A testing program will spend 1 hour per for-cause testing instance. It is estimated that an average of 171 for-cause tests will be performed by D&amp;A testing programs each year (i.e., the average number of for-cause tests performed from CY 2019 through CY 2021). The previous clearance estimated 260 for-cause tests per year.</t>
    </r>
  </si>
  <si>
    <t>26.87(f)(1) and (f)(3) – (f)(5): Post a sign outside the collection area (if a public restroom is used) and document on the Federal custody-and-control form (CCF) the name of a same gender observer (in the exceptional event that a designated collection site is inaccessible, the collector is not the same gender as the donor and a urine specimen must be immediately collected)</t>
  </si>
  <si>
    <t>26.85(a): Develop specimen collector qualification training</t>
  </si>
  <si>
    <t>26.159(b)(1): Record that the licensee or other entity received notice from an HHS lab within 24 hours of the lab identifying evidence of tampering with specimen.</t>
  </si>
  <si>
    <t>26.165(b)(4): Record that a donor presented documentation to the MRO on the inability to submit a timely request to initiate specimen retesting at a second HHS lab</t>
  </si>
  <si>
    <t>26.168(g) Maintain documentation of HHS lab certification of BPTS formulation</t>
  </si>
  <si>
    <r>
      <rPr>
        <u/>
        <sz val="10"/>
        <rFont val="Arial"/>
        <family val="2"/>
      </rPr>
      <t>Total Annual Burden Hours</t>
    </r>
    <r>
      <rPr>
        <sz val="10"/>
        <rFont val="Arial"/>
        <family val="2"/>
      </rPr>
      <t xml:space="preserve"> - 26.168(g). It is estimated that each site with a D&amp;A testing program will spend 1 hour per year to maintain documentation on HHS lab certification of  BPTS formulation. (60 sites x 1.0 hour per site = 60 hours)  
The previous collection accounted for the same total burden, but presented it by D&amp;A testing program instead of by site with a D&amp;A testing program. Presenting burden by site is more consistent with the implementation of 26.168. Also note that the previous clearance referenced 26.168(a), which was incorrect, this clearance now references 26.168(g). </t>
    </r>
  </si>
  <si>
    <r>
      <rPr>
        <u/>
        <sz val="10"/>
        <rFont val="Arial"/>
        <family val="2"/>
      </rPr>
      <t>Total Annual Burden Hours</t>
    </r>
    <r>
      <rPr>
        <sz val="10"/>
        <rFont val="Arial"/>
        <family val="2"/>
      </rPr>
      <t xml:space="preserve"> - 26.168(i)(2). It is estimated that preparing one BPTS takes 5 minutes (0.083 hour), with 56 BPTS prepared per year for each site with a D&amp;A testing program (i.e., 14 BPTSs per calendar quarter per site). 
[0.083 hour per BPTS x 56 BPTSs per site x 60 sites per year = 280 hours per year]
The previous clearance (2021-2024) estimated that 40 BPTSs would be prepared per year per site with a D&amp;A testing program. The 2022 Part 26 final rule expanded the drug testing panel -- these changes resulted in an additional 3 BPTSs submitted per quarter per site per year. The 2022 final rule clearance accounted for the 3 additional BPTSs per quarter per site and also updated the time to prepare a BPTS (changed from 20 minutes to 5 minutes based on industry practice). This clearance includes these 2022 final rule changes. Finally, an assessment of industry practice and the formulation of BPTSs by the supplier used by industry has resulted in the total BPTSs submitted per quarter per site with a D&amp;A testing program to be updated to 14 BPTSs (i.e., 56 BPTSs per year). </t>
    </r>
  </si>
  <si>
    <t>26.168(g): Blind performance test sample (BPTS) supplier provides HHS lab certification letter of BPTS formulation to licensee or other entity</t>
  </si>
  <si>
    <r>
      <rPr>
        <u/>
        <sz val="10"/>
        <rFont val="Arial"/>
        <family val="2"/>
      </rPr>
      <t>Burden Hours per Response and Number of Responses</t>
    </r>
    <r>
      <rPr>
        <sz val="10"/>
        <rFont val="Arial"/>
        <family val="2"/>
      </rPr>
      <t xml:space="preserve"> - 26.168(g). It is estimated that a BPTS supplier spends 1 hour per site with an FFD D&amp;A testing program per year to provide an HHS lab certification letter for each BPTS (60 sites x 1 hour = 60 hours/year).
The previous clearance (2021-2024) estimated a total of 8 hours for this BPTS supplier requirement. Also note that the previous clearance referenced 26.168(a), which was incorrect, this clearance now references 26.168(g). 
This assumption change more accurately captures burden for this activity and also applies to 26.168(h)(2) in Table 4. </t>
    </r>
  </si>
  <si>
    <r>
      <rPr>
        <u/>
        <sz val="10"/>
        <rFont val="Arial"/>
        <family val="2"/>
      </rPr>
      <t>Burden Hours per Recordkeeper</t>
    </r>
    <r>
      <rPr>
        <sz val="10"/>
        <rFont val="Arial"/>
        <family val="2"/>
      </rPr>
      <t xml:space="preserve"> - 26.107(b). It is estimated that a collector will spend an average of 15 minutes (0.25 hours) per subversion attempt to document observations and complete required notification activities. 
It is estimated that 155 subversion attempts will occur each year, which is the average number of subversions attempts from CY 2019 through CY 2021 (i.e., 132 in CY 2019, 151 in CY 2020, and 182 in CY 2018). The previous clearance estimated 128 subversion attempts per year (i.e., 98 in CY 2016, 133 in CY 2017, and 152 in CY 2018). </t>
    </r>
  </si>
  <si>
    <r>
      <rPr>
        <u/>
        <sz val="10"/>
        <rFont val="Arial"/>
        <family val="2"/>
      </rPr>
      <t>Burden Hours per Recordkeeper</t>
    </r>
    <r>
      <rPr>
        <sz val="10"/>
        <rFont val="Arial"/>
        <family val="2"/>
      </rPr>
      <t xml:space="preserve"> - 26.29(c)(2). A D&amp;A testing program is estimated to spend 2 minutes (0.033 hour) per individual to print and retain a record on training completion. It is estimated that 76,527 individuals will complete annual FFD refresher training each year, which is the average number of individuals subject to a random testing program from CY 2019 through CY 2021. The previous clearance estimated that 85,916 individuals would be subject to annual refresher training.</t>
    </r>
  </si>
  <si>
    <r>
      <rPr>
        <u/>
        <sz val="10"/>
        <rFont val="Arial"/>
        <family val="2"/>
      </rPr>
      <t>Number of Recordkeepers</t>
    </r>
    <r>
      <rPr>
        <sz val="10"/>
        <rFont val="Arial"/>
        <family val="2"/>
      </rPr>
      <t xml:space="preserve"> - 26.39(d). It is estimated that one FFD violation will be overturned on appeal during the 3-year period of this clearance. 
The previous clearance estimated 6 FFD violations per year would be overturned on appeal. The number of instances in which an FFD violation is over turned on appeal is rare. </t>
    </r>
  </si>
  <si>
    <r>
      <rPr>
        <u/>
        <sz val="10"/>
        <rFont val="Arial"/>
        <family val="2"/>
      </rPr>
      <t>Burden Hours per Recordkeeper</t>
    </r>
    <r>
      <rPr>
        <sz val="10"/>
        <rFont val="Arial"/>
        <family val="2"/>
      </rPr>
      <t xml:space="preserve"> - 26.53(e)(2). The estimated burden for a C/V to notify a D&amp;A testing program of the termination of an individual’s authorization is 30 minutes (0.5 hour) per program (i.e., 24 D&amp;A testing programs would be notified of each event). For the current clearance period, the NRC estimated under 26.39(e) that the 1 C/V with a D&amp;A testing program would have 1 positive test result over the 3 year clearance period.
[(1 positive result x 24 D&amp;A testing programs) / 3 years = 8 programs notified per year]</t>
    </r>
  </si>
  <si>
    <r>
      <rPr>
        <u/>
        <sz val="10"/>
        <rFont val="Arial"/>
        <family val="2"/>
      </rPr>
      <t>Total Annual Burden Hours</t>
    </r>
    <r>
      <rPr>
        <sz val="10"/>
        <rFont val="Arial"/>
        <family val="2"/>
      </rPr>
      <t xml:space="preserve"> - 26.53(i). A D&amp;A testing program is estimated to spend 1 hour per pre-access D&amp;A testing violation. 
It is estimated that 627 individuals per year applying for authorization at a D&amp;A testing program will have a pre-access testing violation (i.e., a positive test result for drug(s) and/or alcohol, an adulterated or substituted validity test result, or a refusal to test). The 627 value is the average number of pre-access testing violations reported in CY 2019 through CY 2021, adjusted for the estimated increase in detection as a result of the 2022 Part 26 final rule. The previous clearance estimated that 506 individuals would have a pre-access testing violation each year.</t>
    </r>
  </si>
  <si>
    <r>
      <rPr>
        <u/>
        <sz val="10"/>
        <rFont val="Arial"/>
        <family val="2"/>
      </rPr>
      <t>Total Annual Burden Hours</t>
    </r>
    <r>
      <rPr>
        <sz val="10"/>
        <rFont val="Arial"/>
        <family val="2"/>
      </rPr>
      <t xml:space="preserve"> - 26.69(c)(5). It is estimated that a licensee’s reviewing official will spend 1 minute (0.017 hour) per person to confirm the receipt of negative pre-access testing results. It is estimated that an average of 60,257 individuals will be pre-access tested each year (i.e., the average number of pre-access tests peformed from CY 2019 through CY 2021). The previous clearance estimated that 68,285 individuals would be pre-access tested per year.</t>
    </r>
  </si>
  <si>
    <r>
      <rPr>
        <u/>
        <sz val="10"/>
        <rFont val="Arial"/>
        <family val="2"/>
      </rPr>
      <t>Total Annual Burden Hours</t>
    </r>
    <r>
      <rPr>
        <sz val="10"/>
        <rFont val="Arial"/>
        <family val="2"/>
      </rPr>
      <t xml:space="preserve"> - 26.95(b)(5). It is estimated that recording a donor's identity prior to conducting an alcohol test will take the collector 30 seconds (0.008 hour). 
It is estimated that 107,331 individuals will be alcohol tested each year by D&amp;A testing programs. The previous clearance estimated that 122,016 individuals would be alcohol tested each year. </t>
    </r>
  </si>
  <si>
    <r>
      <rPr>
        <u/>
        <sz val="10"/>
        <rFont val="Arial"/>
        <family val="2"/>
      </rPr>
      <t xml:space="preserve">Number of Recordkeepers </t>
    </r>
    <r>
      <rPr>
        <sz val="10"/>
        <rFont val="Arial"/>
        <family val="2"/>
      </rPr>
      <t>- 26.125(b) and (c). Since the last clearance, the remaining 3 LTFs have ceased operations and all D&amp;A testing programs now only use HHS labs for testing. 
The NRC staff estimates no D&amp;A testing programs will utilize an LTF for this clearance period. This assumption change will impact all requirements in Table 2 applicable to LTFs.</t>
    </r>
  </si>
  <si>
    <t>26.183(c)(1): MRO review of HHS lab test result report for drug positive, dilute and drug positive, adulterated, substituted, and invalid specimens</t>
  </si>
  <si>
    <t>26.183(d)(1)(ii)(D): Record of MRO report of confirmed drug positive, adulterated, substituted, or refusal to test result to the licensee’s designated reviewing official</t>
  </si>
  <si>
    <t>26.183(d)(2)(ii): Record of MRO staff review of Federal CCFs and forward changes to the MRO for review (for drug positive, adulterated, substituted and invalid test results)</t>
  </si>
  <si>
    <t>Burden accounted for under
26.41(f) and (g)</t>
  </si>
  <si>
    <t>26.417(b)(2) Collect FFD program performance data for reactor construction site D&amp;A testing programs</t>
  </si>
  <si>
    <r>
      <rPr>
        <u/>
        <sz val="10"/>
        <rFont val="Arial"/>
        <family val="2"/>
      </rPr>
      <t>Number of Recordkeepers</t>
    </r>
    <r>
      <rPr>
        <sz val="10"/>
        <rFont val="Arial"/>
        <family val="2"/>
      </rPr>
      <t xml:space="preserve"> - 26.403(a). For this clearance, no annual burden is estimated for updates to the FFD policy and procedures. The reason is that the NRC staff is anticipating that construction activity at the four SMR reactor construction sites will not begin until the third year of the clearance. As such, the burden to initially develop an FFD policy and procedures is accounted for in Table 1 for 26.403(a).
The previous clearance (2021-2024) accounted for construction activity at the Vogtle Unit 4 site (which was estimated to complete covered activities under Subpart K of Part 26 in the first year of that clearance). </t>
    </r>
  </si>
  <si>
    <r>
      <rPr>
        <u/>
        <sz val="10"/>
        <rFont val="Arial"/>
        <family val="2"/>
      </rPr>
      <t>Burden Hours per Recordkeeper</t>
    </r>
    <r>
      <rPr>
        <sz val="10"/>
        <rFont val="Arial"/>
        <family val="2"/>
      </rPr>
      <t xml:space="preserve"> - 26.405(b). It is estimated that a reactor construction D&amp;A testing program will spend 5 minutes (0.083 hour) to document a random test result. The NRC estimates that in the third year of this clearance, 1,668 random tests will be performed by the new SMR reactor construction site D&amp;A testing programs. 
(0.083 hour x 1,668 tests = 139 hours)
The previous clearance (2021-2024) accounted for construction activity at the Vogtle Unit 4 site (which was estimated to complete covered activities under Subpart K of Part 26 in the first year of that clearance).</t>
    </r>
  </si>
  <si>
    <r>
      <rPr>
        <u/>
        <sz val="10"/>
        <rFont val="Arial"/>
        <family val="2"/>
      </rPr>
      <t>Total Annual Burden Hours</t>
    </r>
    <r>
      <rPr>
        <sz val="10"/>
        <rFont val="Arial"/>
        <family val="2"/>
      </rPr>
      <t xml:space="preserve"> - 26.405(c)(1). It is estimated that a reactor construction D&amp;A testing program will spend 5 minutes (0.083 hour) to document a pre-assignment test result. The NRC estimates that 4,028 pre-assignment tests will be performed in the third year of this clearance by the new SMR reactor construction site D&amp;A testing programs. 
(0.083 hour x 4,028 = 336 hours)
The previous clearance (2021-2024) accounted for construction activity at the Vogtle Unit 4 site (which was estimated to complete covered activities under Subpart K of Part 26 in the first year of that clearance).</t>
    </r>
  </si>
  <si>
    <r>
      <rPr>
        <u/>
        <sz val="10"/>
        <rFont val="Arial"/>
        <family val="2"/>
      </rPr>
      <t>Total Annual Burden Hours</t>
    </r>
    <r>
      <rPr>
        <sz val="10"/>
        <rFont val="Arial"/>
        <family val="2"/>
      </rPr>
      <t xml:space="preserve"> - 26.405(c)(4). It is estimated that a reactor construction D&amp;A testing program will spend 5 minutes (0.083 hour) to document a followup test result. The NRC estimates that an average of 132 followup tests will be performed in the third year of this clearance. 
(0.083 hour x 132 followup tests = 11 hours)
The previous clearance (2021-2024) accounted for construction activity at the Vogtle Unit 4 site (which was estimated to complete covered activities under Subpart K of Part 26 in the first year of that clearance).</t>
    </r>
  </si>
  <si>
    <r>
      <rPr>
        <u/>
        <sz val="10"/>
        <rFont val="Arial"/>
        <family val="2"/>
      </rPr>
      <t>Total Annual Burden Hours</t>
    </r>
    <r>
      <rPr>
        <sz val="10"/>
        <rFont val="Arial"/>
        <family val="2"/>
      </rPr>
      <t xml:space="preserve"> - 26.405(g). It is estimated that the MRO of a reactor construction D&amp;A testing program will spend 45 minutes (0.75 hour) per test to review the HHS lab result, discuss the result with the donor, and communicate with FFD management about the confirmed result. 
The NRC estimates that an average of 92 drug positive, adulterated, substituted and refusal to test results per year. 
The previous clearance (2021-2024) accounted for construction activity at the Vogtle Unit 4 site (which was estimated to complete covered activities under Subpart K of Part 26 in the first year of that clearance).</t>
    </r>
  </si>
  <si>
    <r>
      <rPr>
        <u/>
        <sz val="10"/>
        <rFont val="Arial"/>
        <family val="2"/>
      </rPr>
      <t>Total Annual Burden Hours</t>
    </r>
    <r>
      <rPr>
        <sz val="10"/>
        <rFont val="Arial"/>
        <family val="2"/>
      </rPr>
      <t xml:space="preserve"> - 26.411(a) and (b). It is estimated that construction site D&amp;A testing programs will spend 1.0 hour per person to collect personal information. 
The NRC estimates that 3,100 individuals will be subject to testing in the third year of this clearance period, when construction is estimated to commence at 4 SMR reactor construction sites. 
The previous clearance (2021-2024) accounted for construction activity at the Vogtle Unit 4 site (which was estimated to complete covered activities under Subpart K of Part 26 in the first year of that clearance).</t>
    </r>
  </si>
  <si>
    <r>
      <rPr>
        <u/>
        <sz val="10"/>
        <rFont val="Arial"/>
        <family val="2"/>
      </rPr>
      <t>Duplicative burden removed</t>
    </r>
    <r>
      <rPr>
        <sz val="10"/>
        <rFont val="Arial"/>
        <family val="2"/>
      </rPr>
      <t xml:space="preserve"> - 26.713(a)(4). The previous clearance estimated 80 hours of burden per D&amp;A testing program. The burden for developing and maintaining determination of fitness records is already accounted for under 26.189. This assumption over-estimated annual burden by 1,920 hours (i.e., 80 hours x 24 programs).</t>
    </r>
  </si>
  <si>
    <r>
      <rPr>
        <u/>
        <sz val="10"/>
        <rFont val="Arial"/>
        <family val="2"/>
      </rPr>
      <t>Number of Recordkeepers</t>
    </r>
    <r>
      <rPr>
        <sz val="10"/>
        <rFont val="Arial"/>
        <family val="2"/>
      </rPr>
      <t xml:space="preserve"> - 26.715(b)(8). It is estimated that 4 reports on testing errors or unsatisfactory performance at HHS labs will be received each year. This value is the average number of 26.719(c) reports received by the NRC from CY 2019 through CY 2021. The previous clearance estimated 6 reports per year.</t>
    </r>
  </si>
  <si>
    <r>
      <rPr>
        <u/>
        <sz val="10"/>
        <rFont val="Arial"/>
        <family val="2"/>
      </rPr>
      <t>Number of Recordkeepers</t>
    </r>
    <r>
      <rPr>
        <sz val="10"/>
        <rFont val="Arial"/>
        <family val="2"/>
      </rPr>
      <t xml:space="preserve"> - 26.411(a). For this clearance, no annual burden is estimated for maintaining a system of files to protect information. The reason is that the NRC staff is anticipating that construction activity at the four SMR reactor construction sites will not begin until the third year of this clearance. As such, the burden to initially develop procedures to maintain a system of files is accounted for in Table 1 under 26.411(a).</t>
    </r>
  </si>
  <si>
    <r>
      <rPr>
        <u/>
        <sz val="10"/>
        <rFont val="Arial"/>
        <family val="2"/>
      </rPr>
      <t>Number of Recordkeepers</t>
    </r>
    <r>
      <rPr>
        <sz val="10"/>
        <rFont val="Arial"/>
        <family val="2"/>
      </rPr>
      <t xml:space="preserve"> - 26.719(c). It is estimated that 4 reports will be received per year under 26.719(c). This value is the average number of 26.719(c) reports received per CY 2019 through CY 2021 (5 reports in 2019, 4 reports in 2020, 4 reports in 2021). The previous clearance estimated 6 reports per year. </t>
    </r>
  </si>
  <si>
    <r>
      <rPr>
        <u/>
        <sz val="10"/>
        <color theme="1"/>
        <rFont val="Arial"/>
        <family val="2"/>
      </rPr>
      <t>Number of Recordkeepers</t>
    </r>
    <r>
      <rPr>
        <sz val="10"/>
        <color theme="1"/>
        <rFont val="Arial"/>
        <family val="2"/>
      </rPr>
      <t xml:space="preserve"> - 26.31(d)(1)(i)(D) and (d)(1)(ii). Based on the drug testing panel changes in the 2022 Part 26 final rule, the NRC staff does not anticipate that any D&amp;A testing program will test for additional substances beyond the minimum drug testing panel required by Part 26 for the current clearance period. The prior clearance estimated 1 D&amp;A testing program would test for additional substances. </t>
    </r>
  </si>
  <si>
    <r>
      <rPr>
        <u/>
        <sz val="10"/>
        <color theme="1"/>
        <rFont val="Arial"/>
        <family val="2"/>
      </rPr>
      <t>Number of Recordkeepers</t>
    </r>
    <r>
      <rPr>
        <sz val="10"/>
        <color theme="1"/>
        <rFont val="Arial"/>
        <family val="2"/>
      </rPr>
      <t xml:space="preserve"> - 26.31(d)(3)(iii)(A) and (d)(3)(iii)(C). Based on the drug testing cutoff level changes in the 2022 Part 26 final rule, the NRC staff does not anticipate that any D&amp;A testing program will use more stringent drug testing cutoff level(s) than required by Part 26 for the current clearance period. The prior clearance estimated 1 D&amp;A testing program would use more stringent drug testing cutoff level(s). </t>
    </r>
  </si>
  <si>
    <r>
      <rPr>
        <u/>
        <sz val="10"/>
        <color theme="1"/>
        <rFont val="Arial"/>
        <family val="2"/>
      </rPr>
      <t>Number of Recordkeepers</t>
    </r>
    <r>
      <rPr>
        <sz val="10"/>
        <color theme="1"/>
        <rFont val="Arial"/>
        <family val="2"/>
      </rPr>
      <t xml:space="preserve"> - 26.153(e). It is estimated that 1 D&amp;A testing program per year will change one of its two existing HHS labs. 
This assumption also applies to 26.153(f) in 
Table 1.</t>
    </r>
  </si>
  <si>
    <t>The 2022 Part 26 final rule consolidated collector training requirements into 26.85(a). Prior to the final rule, the collector requirements appeared under 26.85(a) for urine collectors and 26.85(b) for alcohol collectors. This change did not affect the estimated burden for training (i.e., the burden is now collectively reflected under 26.85(a)).</t>
  </si>
  <si>
    <r>
      <rPr>
        <u/>
        <sz val="10"/>
        <rFont val="Arial"/>
        <family val="2"/>
      </rPr>
      <t>Total Annual Burden Hours</t>
    </r>
    <r>
      <rPr>
        <sz val="10"/>
        <rFont val="Arial"/>
        <family val="2"/>
      </rPr>
      <t xml:space="preserve"> - 26.69(c)(2). A D&amp;A testing program is estimated to spend 2.0 hours per application to resolve identified FFD PDI. It is estimated that FFD PDI is identified in the applications of 603 individuals each year (i.e., 1 percent of the 60,257 individuals pre-access tested each year). The previous clearance estimated FFD PDI would be identified in the applications of 683 individuals per year. </t>
    </r>
  </si>
  <si>
    <r>
      <rPr>
        <u/>
        <sz val="10"/>
        <rFont val="Arial"/>
        <family val="2"/>
      </rPr>
      <t>Total Annual Burden Hours</t>
    </r>
    <r>
      <rPr>
        <sz val="10"/>
        <rFont val="Arial"/>
        <family val="2"/>
      </rPr>
      <t xml:space="preserve"> - 26.93(a)(6). Prior to initiating an alcohol test, a collector is estimated to take 30 seconds (0.008 hour) to ask and document the communication of the pre-test questions. 
It is estimated that 107,331 individuals will be alcohol tested each year by D&amp;A testing programs. This value is the average number of tests conducted from CY 2019 through CY 2021. The previous clearance estimated that 122,016 individuals per year would be alcohol tested. </t>
    </r>
  </si>
  <si>
    <t>26.107(d): Collector documents a description of the refusal to test on the Federal CCF (or through another documentation method consistent with collection procedures)</t>
  </si>
  <si>
    <t>26.115(f)(3): Collector documents on the Federal CCF the name of the observer of the directly observed collection</t>
  </si>
  <si>
    <t>26.115(d): Collector documents on the Federal CCF that an observed collection was performed and the reason for the observed collection</t>
  </si>
  <si>
    <t>26.115(b): Collector documents on the Federal CCF approval from the FFD manager or MRO to collect a specimen under direct observation</t>
  </si>
  <si>
    <r>
      <rPr>
        <u/>
        <sz val="10"/>
        <rFont val="Arial"/>
        <family val="2"/>
      </rPr>
      <t>Burden Hours per Recordkeeper</t>
    </r>
    <r>
      <rPr>
        <sz val="10"/>
        <rFont val="Arial"/>
        <family val="2"/>
      </rPr>
      <t xml:space="preserve"> - 26.117(c) - (e). It is estimated that a collector spends 2 minutes (0.033 hour) per specimen collection to prepare the specimen ID labels, Federal CCF, and specimen packaging for shipment. 
The average number of specimen collections estimated to be completed in a year is 107,331. This estimate is the average number of tests performed from CY 2019 through CY 2021. The previous clearance estimated 122,016 collections per year.</t>
    </r>
  </si>
  <si>
    <r>
      <rPr>
        <u/>
        <sz val="10"/>
        <rFont val="Arial"/>
        <family val="2"/>
      </rPr>
      <t>Number of Recordkeepers</t>
    </r>
    <r>
      <rPr>
        <sz val="10"/>
        <rFont val="Arial"/>
        <family val="2"/>
      </rPr>
      <t xml:space="preserve"> - 26.403(a). The only reactor construction activity estimated to occur during this clearance period is construction starting at four SMR reactor construction sites in the third year of the clearance period. As such, the number of recordkeepers is reported at 1.3 sites because the burden in this table is annualized. 
(4 reactor construction sites / 3 years = 1.3 sites per year)</t>
    </r>
  </si>
  <si>
    <t>26.717(a) and (b): Collect FFD performance data for fatigue management programs</t>
  </si>
  <si>
    <r>
      <t xml:space="preserve"> Extension </t>
    </r>
    <r>
      <rPr>
        <sz val="10"/>
        <rFont val="Arial"/>
        <family val="2"/>
      </rPr>
      <t>(October 2024 - September 2027)</t>
    </r>
  </si>
  <si>
    <r>
      <t xml:space="preserve">Extension </t>
    </r>
    <r>
      <rPr>
        <sz val="10"/>
        <color theme="1"/>
        <rFont val="Arial"/>
        <family val="2"/>
      </rPr>
      <t>(October 2024 - September 2027)</t>
    </r>
  </si>
  <si>
    <r>
      <rPr>
        <u/>
        <sz val="10"/>
        <rFont val="Arial"/>
        <family val="2"/>
      </rPr>
      <t>Number of Responses</t>
    </r>
    <r>
      <rPr>
        <sz val="10"/>
        <rFont val="Arial"/>
        <family val="2"/>
      </rPr>
      <t xml:space="preserve"> - 26.4(j). It is estimated that 50 percent of the 60 sites with a D&amp;A testing program grant authorization to offsite response personnel subject to a State or Federal agency D&amp;A testing program (e.g., emergency fire and medical response personnel, SSNM transporters).</t>
    </r>
  </si>
  <si>
    <r>
      <rPr>
        <u/>
        <sz val="10"/>
        <rFont val="Arial"/>
        <family val="2"/>
      </rPr>
      <t>Burden Hours per Response</t>
    </r>
    <r>
      <rPr>
        <sz val="10"/>
        <rFont val="Arial"/>
        <family val="2"/>
      </rPr>
      <t xml:space="preserve"> - 26.29(c)(2). Each individual spends 1.5 hours to complete annual refresher training (i.e., NANTeL Generic FFD and Behavioral Observation training, or equivalent). It is estimated that 76,528 individuals will complete annual refresher training each year (i.e., the average number of individuals subject to a random testing program from CY 2019 through CY 2021). 
This assumption overestimates the burden for annual refresher training because some individuals in the random testing program will have received initial training each year. However, no data were available to improve this estimate. The previous clearance estimated 85,917 individuals completed retraining each year. </t>
    </r>
  </si>
  <si>
    <r>
      <rPr>
        <u/>
        <sz val="10"/>
        <rFont val="Arial"/>
        <family val="2"/>
      </rPr>
      <t>Number of Responses</t>
    </r>
    <r>
      <rPr>
        <sz val="10"/>
        <rFont val="Arial"/>
        <family val="2"/>
      </rPr>
      <t xml:space="preserve"> - 26.31(b)(1)(i). The NRC staff estimates that an average of 5 individuals each year per site with a D&amp;A testing program will apply for authorization to serve as FFD program personnel 
(i.e., 5 individuals x 60 sites = 300 responses). </t>
    </r>
  </si>
  <si>
    <r>
      <rPr>
        <u/>
        <sz val="10"/>
        <rFont val="Arial"/>
        <family val="2"/>
      </rPr>
      <t>Number of Responses</t>
    </r>
    <r>
      <rPr>
        <sz val="10"/>
        <rFont val="Arial"/>
        <family val="2"/>
      </rPr>
      <t xml:space="preserve"> - 26.35(a). It is estimated that each D&amp;A testing program utilizes 1 EAP provider under contract. </t>
    </r>
  </si>
  <si>
    <r>
      <rPr>
        <u/>
        <sz val="10"/>
        <rFont val="Arial"/>
        <family val="2"/>
      </rPr>
      <t>Number of Responses</t>
    </r>
    <r>
      <rPr>
        <sz val="10"/>
        <rFont val="Arial"/>
        <family val="2"/>
      </rPr>
      <t xml:space="preserve"> - 26.53(h). It is estimated that each applicant spends 15 minutes (0.25 hour) to review and sign a written consent form. The previous clearance estimated 68,285 individuals per year. 
It is estimated that 60,257 individuals apply for authorization each year at D&amp;A testing programs (i.e., the average number of individuals that were pre-access tested from CY 2019 through CY 2021). </t>
    </r>
  </si>
  <si>
    <r>
      <rPr>
        <u/>
        <sz val="10"/>
        <rFont val="Arial"/>
        <family val="2"/>
      </rPr>
      <t>Number of Responses</t>
    </r>
    <r>
      <rPr>
        <sz val="10"/>
        <rFont val="Arial"/>
        <family val="2"/>
      </rPr>
      <t xml:space="preserve"> - 26.67. It is estimated that D&amp;A testing programs will randomly test 302 individuals per year that have applied for authorization, but before authorization had been granted (i.e., 0.5 percent of the 60,257 individuals pre-access tested each year). The previous clearance estimated 341 individuals per year (i.e., 0.5 percent of 68,285 pre-access tests). </t>
    </r>
  </si>
  <si>
    <r>
      <rPr>
        <u/>
        <sz val="10"/>
        <rFont val="Arial"/>
        <family val="2"/>
      </rPr>
      <t>Number of Responses</t>
    </r>
    <r>
      <rPr>
        <sz val="10"/>
        <rFont val="Arial"/>
        <family val="2"/>
      </rPr>
      <t xml:space="preserve"> - 26.411(b). It is estimated that each applicant will spend 15 minutes (0.25 hour) to review and sign a written consent. 
The only reactor construction activity estimated to occur during this clearance period is construction starting at four SMR reactor construction sites in the third year of this clearance period. The NRC estimates that in year three of the clearance, 4,028 individuals will be pre-assignment tested. Because the burden in this table is annualized, the number of responses is 1,343 (i.e., 0 individuals in year 1 + 0 individuals in year 2 + 4,028 individuals in year 3 / 3 years = 1,343 individual responses per year).
The previous clearance accounted for construction activity at the Vogtle Unit 4 site (which was estimated to be complete under Subpart K of Part 26 in the first year of the clearance).</t>
    </r>
  </si>
  <si>
    <r>
      <rPr>
        <u/>
        <sz val="10"/>
        <rFont val="Arial"/>
        <family val="2"/>
      </rPr>
      <t>No. Actions/Year</t>
    </r>
    <r>
      <rPr>
        <sz val="10"/>
        <rFont val="Arial"/>
        <family val="2"/>
      </rPr>
      <t xml:space="preserve"> - 26.717.  It is estimated that 60 sites each submit FFD program performance report information to the NRC (i.e., 53 operating nuclear power reactor sites;  2 Category I SNM sites, 4 corporate FFD programs, and 1 C/V).
The previous clearance also reported that 60 sites per year would submit report information; however, the mix of sites was different (54 operating nuclear power reactor sites in the first year of the clearance period and 51 sites in years two and three of the clearance period due to three sites permanently ceasing operations; 2 Category I SNM sites, 5 corporate FFD programs, and 1 C/V).   </t>
    </r>
  </si>
  <si>
    <r>
      <rPr>
        <u/>
        <sz val="10"/>
        <rFont val="Arial"/>
        <family val="2"/>
      </rPr>
      <t>No. Actions/Year</t>
    </r>
    <r>
      <rPr>
        <sz val="10"/>
        <rFont val="Arial"/>
        <family val="2"/>
      </rPr>
      <t xml:space="preserve"> - 26.719(c). It is estimated that the NRC will receive four (4) reports per year under 26.719(c), which is the average number of reports received from CY 2019 through CY 2021. The previous clearance estimated 6 reports per year. </t>
    </r>
  </si>
  <si>
    <r>
      <t>No. Actions/Year</t>
    </r>
    <r>
      <rPr>
        <sz val="10"/>
        <rFont val="Arial"/>
        <family val="2"/>
      </rPr>
      <t xml:space="preserve"> - 26.719(c). It is estimated that the NRC will receive 4 reports per year under 26.719(c), which is the average number of reports received from CY 2019 through CY 2021. The previous clearance estimated 6 reports per year. </t>
    </r>
  </si>
  <si>
    <t>Table summarizes changes in 
Annual Burden in Tables 2-4 
by program element</t>
  </si>
  <si>
    <t>ANNUAL Changes in Burden</t>
  </si>
  <si>
    <t>Number of 
Recordkeepers</t>
  </si>
  <si>
    <t xml:space="preserve">Burden Hours per 
Response </t>
  </si>
  <si>
    <t>Total Annual Burden Hours</t>
  </si>
  <si>
    <t>Total Annual Burden
Hours</t>
  </si>
  <si>
    <r>
      <rPr>
        <u/>
        <sz val="10"/>
        <rFont val="Arial"/>
        <family val="2"/>
      </rPr>
      <t>Total Annual Burden Hours</t>
    </r>
    <r>
      <rPr>
        <sz val="10"/>
        <rFont val="Arial"/>
        <family val="2"/>
      </rPr>
      <t xml:space="preserve"> - 26.405(c)(2) and (c)(3). It is estimated that a reactor construction D&amp;A testing program will spend 1 hour per person to document a for-cause or post-event testing event (determination for testing and test result). The NRC estimates that an average of 180 for-cause and post-event tests will be performed in the third year of this clearance by the new SMR reactor construction site D&amp;A testing programs.
The previous clearance (2021-2024) accounted for construction activity at the Vogtle Unit 4 site (which was estimated to complete covered activities under Subpart K of Part 26 in the first year of that clearance).</t>
    </r>
  </si>
  <si>
    <r>
      <rPr>
        <u/>
        <sz val="10"/>
        <rFont val="Arial"/>
        <family val="2"/>
      </rPr>
      <t>Number of Recordkeepers</t>
    </r>
    <r>
      <rPr>
        <sz val="10"/>
        <rFont val="Arial"/>
        <family val="2"/>
      </rPr>
      <t xml:space="preserve"> - 26.403(a). 
The NRC staff estimates that construction activities will begin at 4 small modular reactor (SMR) construction sites in the third year of this clearance period.  
This assumption also applies to 26.403(b), 26.407, 26.411(a), and 26.413 in Table 1.</t>
    </r>
  </si>
  <si>
    <t>Recordkeepers (Table 2)</t>
  </si>
  <si>
    <t>Reporting Responses (Table 3)</t>
  </si>
  <si>
    <t>Third-Party Respondents</t>
  </si>
  <si>
    <t>Third-Party Disclosure Responses (Table 4)</t>
  </si>
  <si>
    <t>Vogtle 3 (began commercial ops 7/31/23); Vogtle 4 (fuel load start: 8/17/23, began commericial ops 4/29/24))</t>
  </si>
  <si>
    <t>BWXT, NFS</t>
  </si>
  <si>
    <t xml:space="preserve">The current operating licenses for the Diablo Canyon Nuclear Power Plant, Units 1 and 2, expire on Nov. 2, 2024, and Aug. 26, 2025, respectively. The exemption granted today will allow those licenses to remain in effect provided PG&amp;E submits a sufficient license renewal application for the reactors by Dec. 31, 2023. The NRC will continue its normal inspection and oversight of the facility throughout the review to ensure continued safe operation. If granted, the license renewal would authorize continued operation for up to 20 years.
On November 7, 2023 Diablo Canyon submitted a licensee renewal application (which is undergoing NRC acceptance review)
</t>
  </si>
  <si>
    <t>Construction at 4 new SMR sites in last year of clearance (2027)
X-energy, TerraPower, Holtec, and Clinch River.</t>
  </si>
  <si>
    <t>&lt;&lt;Each is a Part 50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</si>
</sst>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_);[Red]\(&quot;$&quot;#,##0\)"/>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_(* #,##0.0_);_(* \(#,##0.0\);\ 0;_(@_)"/>
    <numFmt numFmtId="167" formatCode="_(* #,##0.0_);_(* \(#,##0.0\);_(* &quot;-&quot;?_);_(@_)"/>
    <numFmt numFmtId="168" formatCode="0.0%"/>
    <numFmt numFmtId="169" formatCode="_(* #,##0.0_);_(* \(#,##0.0\);0;_(@_)"/>
    <numFmt numFmtId="170" formatCode="#,###,##0"/>
    <numFmt numFmtId="171" formatCode="_(* #,##0.0_);_(* \(#,##0.0\);\ 0\ ;_(@_)"/>
    <numFmt numFmtId="172" formatCode="mmm\-dd\-yyyy"/>
    <numFmt numFmtId="173" formatCode="_(* #,##0_);_(* \(#,##0\);_(* &quot;-&quot;??_);_(@_)"/>
    <numFmt numFmtId="174" formatCode="#,###,##0.0"/>
    <numFmt numFmtId="175" formatCode="0.0"/>
    <numFmt numFmtId="176" formatCode="mmm\ yyyy"/>
    <numFmt numFmtId="177" formatCode="_(* #,##0.00_);_(* \(#,##0.00\);\ 0.0;_(@_)"/>
    <numFmt numFmtId="178" formatCode="mm/dd/yyyy"/>
    <numFmt numFmtId="179" formatCode="_(* #,##0_ &quot;programs&quot;;_(* \(#,##0\);\ 0;_(@_)"/>
    <numFmt numFmtId="180" formatCode="_(* #,##0_ &quot;sites&quot;;_(* \(#,##0\);\ 0;_(@_)"/>
    <numFmt numFmtId="181" formatCode="_(* #,##0_ &quot;programs&quot;;_(* \(#,##0\);\ 0\ &quot;programs&quot;;_(@_)"/>
    <numFmt numFmtId="182" formatCode="_(* #,##0.0_ &quot;programs&quot;;_(* \(#,##0.0\);\ 0.0\ &quot;programs&quot;;_(@_)"/>
    <numFmt numFmtId="183" formatCode="_(* #,##0.0_ &quot;programs&quot;;_(* \(#,##0.0\);\ 0\ &quot;programs&quot;;_(@_)"/>
    <numFmt numFmtId="184" formatCode="_(* #,##0_ &quot;sites&quot;;_(* \(#,##0\);\ 0\ &quot;sites&quot;;_(@_)"/>
    <numFmt numFmtId="185" formatCode="_(* #,##0_ &quot;C/V&quot;;_(* \(#,##0\);\ 0\ &quot;C/Vs&quot;;_(@_)"/>
    <numFmt numFmtId="186" formatCode="_(* #,##0_ &quot;sites&quot;;_(* \(#,##0\);\ 0_ &quot;sites&quot;;_(@_)"/>
    <numFmt numFmtId="187" formatCode="_(* #,##0_ &quot;LTFs&quot;;_(* \(#,##0\);\ 0\ &quot;LTFs&quot;;_(@_)"/>
    <numFmt numFmtId="188" formatCode="_(* #,##0.0_ &quot;sites&quot;;_(* \(#,##0.0\);\ 0.0;_(@_)"/>
    <numFmt numFmtId="189" formatCode="_(* #,##0_ &quot;program&quot;;_(* \(#,##0\);\ 0\ &quot;programs&quot;;_(@_)"/>
    <numFmt numFmtId="190" formatCode="_(* #,##0_ &quot;program&quot;;_(* \(#,##0\);\ 0;_(@_)"/>
    <numFmt numFmtId="191" formatCode="_(* #,##0_ &quot;site&quot;;_(* \(#,##0\);\ 0\ &quot;site&quot;;_(@_)"/>
    <numFmt numFmtId="192" formatCode="_(* #,##0.0_ &quot;sites&quot;;_(* \(#,##0.0\);\ 0\ &quot;sites&quot;;_(@_)"/>
  </numFmts>
  <fonts count="46" x14ac:knownFonts="1">
    <font>
      <sz val="11"/>
      <color theme="1"/>
      <name val="Arial"/>
      <family val="2"/>
    </font>
    <font>
      <b/>
      <sz val="11"/>
      <color theme="1"/>
      <name val="Arial"/>
      <family val="2"/>
    </font>
    <font>
      <sz val="11"/>
      <color theme="1"/>
      <name val="Arial"/>
      <family val="2"/>
    </font>
    <font>
      <b/>
      <sz val="10"/>
      <color theme="1"/>
      <name val="Arial"/>
      <family val="2"/>
    </font>
    <font>
      <sz val="10"/>
      <color theme="1"/>
      <name val="Arial"/>
      <family val="2"/>
    </font>
    <font>
      <sz val="10"/>
      <name val="Arial"/>
      <family val="2"/>
    </font>
    <font>
      <b/>
      <sz val="10"/>
      <name val="Arial"/>
      <family val="2"/>
    </font>
    <font>
      <sz val="10"/>
      <color rgb="FFFF0000"/>
      <name val="Arial"/>
      <family val="2"/>
    </font>
    <font>
      <u/>
      <sz val="10"/>
      <color theme="1"/>
      <name val="Arial"/>
      <family val="2"/>
    </font>
    <font>
      <b/>
      <u/>
      <sz val="10"/>
      <color theme="1"/>
      <name val="Arial"/>
      <family val="2"/>
    </font>
    <font>
      <b/>
      <sz val="10"/>
      <color indexed="8"/>
      <name val="Arial"/>
      <family val="2"/>
    </font>
    <font>
      <sz val="10"/>
      <color indexed="8"/>
      <name val="Arial"/>
      <family val="2"/>
    </font>
    <font>
      <b/>
      <i/>
      <sz val="10"/>
      <color rgb="FFFF0000"/>
      <name val="Arial"/>
      <family val="2"/>
    </font>
    <font>
      <sz val="9"/>
      <color theme="1"/>
      <name val="Arial"/>
      <family val="2"/>
    </font>
    <font>
      <b/>
      <sz val="12"/>
      <color theme="1"/>
      <name val="Arial"/>
      <family val="2"/>
    </font>
    <font>
      <u/>
      <sz val="10"/>
      <color rgb="FFFF0000"/>
      <name val="Arial"/>
      <family val="2"/>
    </font>
    <font>
      <b/>
      <i/>
      <sz val="10"/>
      <name val="Arial"/>
      <family val="2"/>
    </font>
    <font>
      <sz val="11"/>
      <color rgb="FFFF0000"/>
      <name val="Arial"/>
      <family val="2"/>
    </font>
    <font>
      <b/>
      <sz val="11"/>
      <color rgb="FFFF0000"/>
      <name val="Arial"/>
      <family val="2"/>
    </font>
    <font>
      <b/>
      <sz val="10"/>
      <color rgb="FFFF0000"/>
      <name val="Arial"/>
      <family val="2"/>
    </font>
    <font>
      <b/>
      <sz val="11"/>
      <name val="Arial"/>
      <family val="2"/>
    </font>
    <font>
      <sz val="11"/>
      <name val="Arial"/>
      <family val="2"/>
    </font>
    <font>
      <b/>
      <sz val="12"/>
      <name val="Arial"/>
      <family val="2"/>
    </font>
    <font>
      <u/>
      <sz val="11"/>
      <name val="Arial"/>
      <family val="2"/>
    </font>
    <font>
      <b/>
      <sz val="9"/>
      <name val="Arial"/>
      <family val="2"/>
    </font>
    <font>
      <sz val="9"/>
      <color rgb="FFFF0000"/>
      <name val="Arial"/>
      <family val="2"/>
    </font>
    <font>
      <sz val="9"/>
      <name val="Arial"/>
      <family val="2"/>
    </font>
    <font>
      <b/>
      <u/>
      <sz val="11"/>
      <color theme="1"/>
      <name val="Arial"/>
      <family val="2"/>
    </font>
    <font>
      <u/>
      <sz val="10"/>
      <name val="Arial"/>
      <family val="2"/>
    </font>
    <font>
      <b/>
      <sz val="14"/>
      <color theme="1"/>
      <name val="Arial"/>
      <family val="2"/>
    </font>
    <font>
      <b/>
      <sz val="9"/>
      <color rgb="FFFF0000"/>
      <name val="Arial"/>
      <family val="2"/>
    </font>
    <font>
      <sz val="14"/>
      <color theme="1"/>
      <name val="Arial"/>
      <family val="2"/>
    </font>
    <font>
      <sz val="8"/>
      <name val="Arial"/>
      <family val="2"/>
    </font>
    <font>
      <sz val="11"/>
      <color theme="0"/>
      <name val="Arial"/>
      <family val="2"/>
    </font>
    <font>
      <b/>
      <sz val="10"/>
      <color theme="0"/>
      <name val="Arial"/>
      <family val="2"/>
    </font>
    <font>
      <b/>
      <sz val="12"/>
      <color rgb="FFFF0000"/>
      <name val="Arial"/>
      <family val="2"/>
    </font>
    <font>
      <b/>
      <sz val="14"/>
      <name val="Arial"/>
      <family val="2"/>
    </font>
    <font>
      <u/>
      <sz val="10"/>
      <color rgb="FF000000"/>
      <name val="Arial"/>
      <family val="2"/>
    </font>
    <font>
      <sz val="10"/>
      <color rgb="FF000000"/>
      <name val="Arial"/>
      <family val="2"/>
    </font>
    <font>
      <sz val="10"/>
      <color rgb="FFFF0000"/>
      <name val="Arial"/>
      <family val="2"/>
    </font>
    <font>
      <b/>
      <sz val="10"/>
      <color rgb="FF000000"/>
      <name val="Arial"/>
      <family val="2"/>
    </font>
    <font>
      <b/>
      <sz val="11"/>
      <color rgb="FF000000"/>
      <name val="Arial"/>
      <family val="2"/>
    </font>
    <font>
      <sz val="10"/>
      <color theme="0"/>
      <name val="Arial"/>
      <family val="2"/>
    </font>
    <font>
      <i/>
      <sz val="10"/>
      <color indexed="8"/>
      <name val="Arial"/>
      <family val="2"/>
    </font>
    <font>
      <i/>
      <sz val="10"/>
      <name val="Arial"/>
      <family val="2"/>
    </font>
    <font>
      <vertAlign val="superscript"/>
      <sz val="1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top style="thin">
        <color theme="6" tint="0.79998168889431442"/>
      </top>
      <bottom style="thin">
        <color theme="6" tint="0.79998168889431442"/>
      </bottom>
      <diagonal/>
    </border>
    <border>
      <left/>
      <right/>
      <top/>
      <bottom style="thin">
        <color theme="6" tint="0.79998168889431442"/>
      </bottom>
      <diagonal/>
    </border>
    <border>
      <left/>
      <right/>
      <top style="thin">
        <color theme="6" tint="0.79998168889431442"/>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double">
        <color rgb="FF000000"/>
      </bottom>
      <diagonal/>
    </border>
    <border>
      <left style="thin">
        <color indexed="64"/>
      </left>
      <right/>
      <top style="thin">
        <color indexed="64"/>
      </top>
      <bottom style="double">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thin">
        <color rgb="FF000000"/>
      </left>
      <right style="thin">
        <color rgb="FF000000"/>
      </right>
      <top style="thin">
        <color rgb="FF000000"/>
      </top>
      <bottom style="double">
        <color indexed="64"/>
      </bottom>
      <diagonal/>
    </border>
    <border>
      <left/>
      <right style="thin">
        <color indexed="64"/>
      </right>
      <top/>
      <bottom style="double">
        <color indexed="64"/>
      </bottom>
      <diagonal/>
    </border>
    <border>
      <left style="thin">
        <color indexed="64"/>
      </left>
      <right style="thin">
        <color indexed="64"/>
      </right>
      <top style="thin">
        <color rgb="FF000000"/>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double">
        <color indexed="64"/>
      </bottom>
      <diagonal/>
    </border>
    <border>
      <left/>
      <right style="thin">
        <color rgb="FF000000"/>
      </right>
      <top/>
      <bottom style="thin">
        <color rgb="FF000000"/>
      </bottom>
      <diagonal/>
    </border>
    <border>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top/>
      <bottom/>
      <diagonal/>
    </border>
    <border>
      <left/>
      <right style="medium">
        <color indexed="64"/>
      </right>
      <top style="thin">
        <color indexed="64"/>
      </top>
      <bottom style="thin">
        <color indexed="64"/>
      </bottom>
      <diagonal/>
    </border>
    <border>
      <left style="thin">
        <color indexed="64"/>
      </left>
      <right style="thin">
        <color indexed="64"/>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style="double">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cellStyleXfs>
  <cellXfs count="1202">
    <xf numFmtId="0" fontId="0" fillId="0" borderId="0" xfId="0"/>
    <xf numFmtId="164" fontId="0" fillId="0" borderId="0" xfId="1" applyNumberFormat="1" applyFont="1"/>
    <xf numFmtId="164" fontId="0" fillId="0" borderId="0" xfId="1" applyNumberFormat="1" applyFont="1" applyFill="1"/>
    <xf numFmtId="164" fontId="1" fillId="0" borderId="0" xfId="1" applyNumberFormat="1" applyFont="1" applyFill="1"/>
    <xf numFmtId="164" fontId="0" fillId="0" borderId="0" xfId="1" applyNumberFormat="1" applyFont="1" applyFill="1" applyAlignment="1"/>
    <xf numFmtId="164" fontId="0" fillId="0" borderId="0" xfId="1" applyNumberFormat="1" applyFont="1" applyFill="1" applyAlignment="1">
      <alignment horizontal="right"/>
    </xf>
    <xf numFmtId="164" fontId="4" fillId="0" borderId="0" xfId="1" applyNumberFormat="1" applyFont="1" applyFill="1"/>
    <xf numFmtId="164" fontId="4" fillId="0" borderId="0" xfId="1" applyNumberFormat="1" applyFont="1" applyFill="1" applyAlignment="1">
      <alignment horizontal="left"/>
    </xf>
    <xf numFmtId="0" fontId="4" fillId="0" borderId="0" xfId="0" applyFont="1"/>
    <xf numFmtId="164" fontId="4" fillId="0" borderId="0" xfId="1" applyNumberFormat="1" applyFont="1" applyFill="1" applyAlignment="1">
      <alignment horizontal="center"/>
    </xf>
    <xf numFmtId="0" fontId="0" fillId="0" borderId="0" xfId="0" applyAlignment="1">
      <alignment horizontal="center"/>
    </xf>
    <xf numFmtId="0" fontId="5" fillId="2" borderId="1" xfId="1" applyNumberFormat="1" applyFont="1" applyFill="1" applyBorder="1" applyAlignment="1">
      <alignment horizontal="left" vertical="center" wrapText="1"/>
    </xf>
    <xf numFmtId="166" fontId="3" fillId="2" borderId="6" xfId="1" applyNumberFormat="1" applyFont="1" applyFill="1" applyBorder="1" applyAlignment="1">
      <alignment horizontal="right" vertical="center" wrapText="1"/>
    </xf>
    <xf numFmtId="164" fontId="3" fillId="2" borderId="7" xfId="1" applyNumberFormat="1" applyFont="1" applyFill="1" applyBorder="1" applyAlignment="1">
      <alignment horizontal="right" vertical="center" wrapText="1"/>
    </xf>
    <xf numFmtId="164" fontId="3" fillId="2" borderId="10" xfId="1" applyNumberFormat="1" applyFont="1" applyFill="1" applyBorder="1" applyAlignment="1">
      <alignment horizontal="right" vertical="center" wrapText="1"/>
    </xf>
    <xf numFmtId="164" fontId="3" fillId="2" borderId="7" xfId="1" applyNumberFormat="1"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164" fontId="0" fillId="2" borderId="0" xfId="1" applyNumberFormat="1" applyFont="1" applyFill="1"/>
    <xf numFmtId="0" fontId="11" fillId="0" borderId="0" xfId="0" applyFont="1"/>
    <xf numFmtId="3" fontId="11" fillId="0" borderId="0" xfId="0" applyNumberFormat="1" applyFont="1"/>
    <xf numFmtId="0" fontId="11" fillId="0" borderId="0" xfId="0" applyFont="1" applyAlignment="1">
      <alignment horizontal="left"/>
    </xf>
    <xf numFmtId="0" fontId="4" fillId="0" borderId="0" xfId="1" applyNumberFormat="1" applyFont="1" applyFill="1"/>
    <xf numFmtId="164" fontId="0" fillId="0" borderId="0" xfId="1" applyNumberFormat="1" applyFont="1" applyFill="1" applyAlignment="1">
      <alignment horizontal="center" vertical="center" wrapText="1"/>
    </xf>
    <xf numFmtId="0" fontId="4" fillId="2" borderId="0" xfId="0" applyFont="1" applyFill="1"/>
    <xf numFmtId="0" fontId="0" fillId="0" borderId="0" xfId="0" applyAlignment="1">
      <alignment horizontal="right"/>
    </xf>
    <xf numFmtId="0" fontId="4" fillId="0" borderId="7" xfId="0" applyFont="1" applyBorder="1"/>
    <xf numFmtId="0" fontId="4" fillId="0" borderId="0" xfId="0" applyFont="1" applyAlignment="1">
      <alignment horizontal="center"/>
    </xf>
    <xf numFmtId="164" fontId="0" fillId="0" borderId="0" xfId="1" applyNumberFormat="1" applyFont="1" applyFill="1" applyBorder="1"/>
    <xf numFmtId="0" fontId="0" fillId="0" borderId="7" xfId="0" applyBorder="1"/>
    <xf numFmtId="3" fontId="11" fillId="0" borderId="7" xfId="0" applyNumberFormat="1" applyFont="1" applyBorder="1"/>
    <xf numFmtId="0" fontId="3" fillId="3" borderId="4" xfId="0" applyFont="1" applyFill="1" applyBorder="1"/>
    <xf numFmtId="0" fontId="10" fillId="3" borderId="4" xfId="0" applyFont="1" applyFill="1" applyBorder="1"/>
    <xf numFmtId="3" fontId="10" fillId="3" borderId="4" xfId="0" applyNumberFormat="1" applyFont="1" applyFill="1" applyBorder="1"/>
    <xf numFmtId="0" fontId="11" fillId="0" borderId="7" xfId="0" applyFont="1" applyBorder="1" applyAlignment="1">
      <alignment horizontal="left" indent="1"/>
    </xf>
    <xf numFmtId="0" fontId="0" fillId="3" borderId="4" xfId="0" applyFill="1" applyBorder="1"/>
    <xf numFmtId="0" fontId="0" fillId="0" borderId="4" xfId="0" applyBorder="1"/>
    <xf numFmtId="0" fontId="11" fillId="0" borderId="0" xfId="0" applyFont="1" applyAlignment="1">
      <alignment horizontal="right"/>
    </xf>
    <xf numFmtId="3" fontId="11" fillId="0" borderId="4" xfId="0" applyNumberFormat="1" applyFont="1" applyBorder="1"/>
    <xf numFmtId="164" fontId="4" fillId="2" borderId="8" xfId="1" applyNumberFormat="1" applyFont="1" applyFill="1" applyBorder="1" applyAlignment="1">
      <alignment horizontal="center" vertical="center"/>
    </xf>
    <xf numFmtId="164" fontId="5" fillId="2" borderId="1" xfId="1" applyNumberFormat="1" applyFont="1" applyFill="1" applyBorder="1" applyAlignment="1">
      <alignment horizontal="center" vertical="center" wrapText="1"/>
    </xf>
    <xf numFmtId="164" fontId="5" fillId="2" borderId="12"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xf>
    <xf numFmtId="0" fontId="12" fillId="2" borderId="1" xfId="1" applyNumberFormat="1" applyFont="1" applyFill="1" applyBorder="1" applyAlignment="1">
      <alignment horizontal="center" vertical="center"/>
    </xf>
    <xf numFmtId="0" fontId="5" fillId="2" borderId="1" xfId="1" applyNumberFormat="1" applyFont="1" applyFill="1" applyBorder="1" applyAlignment="1">
      <alignment horizontal="center" vertical="center" wrapText="1"/>
    </xf>
    <xf numFmtId="0" fontId="12" fillId="2" borderId="1" xfId="1" applyNumberFormat="1" applyFont="1" applyFill="1" applyBorder="1" applyAlignment="1">
      <alignment horizontal="center" vertical="center" wrapText="1"/>
    </xf>
    <xf numFmtId="164" fontId="0" fillId="0" borderId="0" xfId="0" applyNumberFormat="1"/>
    <xf numFmtId="0" fontId="1" fillId="3" borderId="0" xfId="0" applyFont="1" applyFill="1" applyAlignment="1">
      <alignment horizontal="left" vertical="top" indent="1"/>
    </xf>
    <xf numFmtId="0" fontId="0" fillId="3" borderId="0" xfId="0" applyFill="1"/>
    <xf numFmtId="164" fontId="4" fillId="0" borderId="1" xfId="1"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164" fontId="16" fillId="2" borderId="1" xfId="1" applyNumberFormat="1" applyFont="1" applyFill="1" applyBorder="1" applyAlignment="1">
      <alignment horizontal="center" vertical="center"/>
    </xf>
    <xf numFmtId="164" fontId="6" fillId="2" borderId="6" xfId="1" applyNumberFormat="1" applyFont="1" applyFill="1" applyBorder="1" applyAlignment="1">
      <alignment horizontal="center" vertical="center" wrapText="1"/>
    </xf>
    <xf numFmtId="0" fontId="7" fillId="0" borderId="0" xfId="0" applyFont="1"/>
    <xf numFmtId="0" fontId="17" fillId="0" borderId="0" xfId="0" applyFont="1" applyAlignment="1">
      <alignment vertical="center"/>
    </xf>
    <xf numFmtId="3" fontId="5" fillId="0" borderId="0" xfId="0" applyNumberFormat="1" applyFont="1"/>
    <xf numFmtId="3" fontId="5" fillId="4" borderId="7" xfId="0" applyNumberFormat="1" applyFont="1" applyFill="1" applyBorder="1"/>
    <xf numFmtId="3" fontId="19" fillId="0" borderId="0" xfId="0" applyNumberFormat="1" applyFont="1"/>
    <xf numFmtId="0" fontId="18" fillId="0" borderId="0" xfId="0" applyFont="1"/>
    <xf numFmtId="3" fontId="11" fillId="4" borderId="7" xfId="0" applyNumberFormat="1" applyFont="1" applyFill="1" applyBorder="1"/>
    <xf numFmtId="164" fontId="5" fillId="0" borderId="8"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170" fontId="4" fillId="4" borderId="0" xfId="0" applyNumberFormat="1" applyFont="1" applyFill="1" applyAlignment="1">
      <alignment horizontal="right"/>
    </xf>
    <xf numFmtId="170" fontId="4" fillId="4" borderId="0" xfId="0" applyNumberFormat="1" applyFont="1" applyFill="1"/>
    <xf numFmtId="170" fontId="4" fillId="4" borderId="7" xfId="0" applyNumberFormat="1" applyFont="1" applyFill="1" applyBorder="1" applyAlignment="1">
      <alignment horizontal="right"/>
    </xf>
    <xf numFmtId="170" fontId="4" fillId="4" borderId="4" xfId="0" applyNumberFormat="1" applyFont="1" applyFill="1" applyBorder="1" applyAlignment="1">
      <alignment horizontal="right"/>
    </xf>
    <xf numFmtId="0" fontId="0" fillId="3" borderId="9" xfId="0" applyFill="1" applyBorder="1"/>
    <xf numFmtId="0" fontId="0" fillId="3" borderId="4" xfId="0" applyFill="1" applyBorder="1" applyAlignment="1">
      <alignment vertical="center"/>
    </xf>
    <xf numFmtId="0" fontId="1" fillId="3" borderId="4" xfId="0" applyFont="1" applyFill="1" applyBorder="1" applyAlignment="1">
      <alignment horizontal="left" vertical="center" indent="1"/>
    </xf>
    <xf numFmtId="0" fontId="4" fillId="4" borderId="0" xfId="0" applyFont="1" applyFill="1" applyAlignment="1">
      <alignment horizontal="right"/>
    </xf>
    <xf numFmtId="0" fontId="4" fillId="4" borderId="17" xfId="0" applyFont="1" applyFill="1" applyBorder="1" applyAlignment="1">
      <alignment horizontal="left" indent="1"/>
    </xf>
    <xf numFmtId="0" fontId="4" fillId="4" borderId="2" xfId="0" applyFont="1" applyFill="1" applyBorder="1" applyAlignment="1">
      <alignment horizontal="left" indent="1"/>
    </xf>
    <xf numFmtId="0" fontId="0" fillId="6" borderId="0" xfId="0" applyFill="1"/>
    <xf numFmtId="170" fontId="4" fillId="4" borderId="10" xfId="0" applyNumberFormat="1" applyFont="1" applyFill="1" applyBorder="1" applyAlignment="1">
      <alignment horizontal="right"/>
    </xf>
    <xf numFmtId="170" fontId="4" fillId="4" borderId="17" xfId="0" applyNumberFormat="1" applyFont="1" applyFill="1" applyBorder="1"/>
    <xf numFmtId="0" fontId="0" fillId="6" borderId="17" xfId="0" applyFill="1" applyBorder="1"/>
    <xf numFmtId="170" fontId="4" fillId="6" borderId="0" xfId="0" applyNumberFormat="1" applyFont="1" applyFill="1" applyAlignment="1">
      <alignment horizontal="right"/>
    </xf>
    <xf numFmtId="170" fontId="4" fillId="6" borderId="17" xfId="0" applyNumberFormat="1" applyFont="1" applyFill="1" applyBorder="1" applyAlignment="1">
      <alignment horizontal="right"/>
    </xf>
    <xf numFmtId="170" fontId="4" fillId="6" borderId="0" xfId="0" applyNumberFormat="1" applyFont="1" applyFill="1"/>
    <xf numFmtId="170" fontId="4" fillId="6" borderId="17" xfId="0" applyNumberFormat="1" applyFont="1" applyFill="1" applyBorder="1"/>
    <xf numFmtId="0" fontId="4" fillId="6" borderId="0" xfId="0" applyFont="1" applyFill="1" applyAlignment="1">
      <alignment horizontal="right"/>
    </xf>
    <xf numFmtId="0" fontId="0" fillId="0" borderId="9" xfId="0" applyBorder="1"/>
    <xf numFmtId="0" fontId="4" fillId="4" borderId="10" xfId="0" applyFont="1" applyFill="1" applyBorder="1" applyAlignment="1">
      <alignment horizontal="left" indent="1"/>
    </xf>
    <xf numFmtId="0" fontId="4" fillId="4" borderId="9" xfId="0" applyFont="1" applyFill="1" applyBorder="1" applyAlignment="1">
      <alignment horizontal="right"/>
    </xf>
    <xf numFmtId="170" fontId="4" fillId="4" borderId="18" xfId="0" applyNumberFormat="1" applyFont="1" applyFill="1" applyBorder="1"/>
    <xf numFmtId="3" fontId="5" fillId="3" borderId="0" xfId="0" applyNumberFormat="1" applyFont="1" applyFill="1"/>
    <xf numFmtId="164" fontId="4" fillId="5" borderId="1" xfId="1" applyNumberFormat="1" applyFont="1" applyFill="1" applyBorder="1" applyAlignment="1">
      <alignment horizontal="center" vertical="center" wrapText="1"/>
    </xf>
    <xf numFmtId="0" fontId="5" fillId="0" borderId="0" xfId="0" applyFont="1"/>
    <xf numFmtId="164" fontId="4" fillId="0" borderId="8"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0" fontId="0" fillId="3" borderId="7" xfId="0" applyFill="1" applyBorder="1" applyAlignment="1">
      <alignment horizontal="center" wrapText="1"/>
    </xf>
    <xf numFmtId="0" fontId="20" fillId="3" borderId="7" xfId="0" applyFont="1" applyFill="1" applyBorder="1" applyAlignment="1">
      <alignment vertical="center" wrapText="1"/>
    </xf>
    <xf numFmtId="0" fontId="20" fillId="3" borderId="7" xfId="0" applyFont="1" applyFill="1" applyBorder="1" applyAlignment="1">
      <alignment horizontal="left" vertical="center" wrapText="1"/>
    </xf>
    <xf numFmtId="0" fontId="0" fillId="2" borderId="7" xfId="0" applyFill="1" applyBorder="1" applyAlignment="1">
      <alignment horizontal="center"/>
    </xf>
    <xf numFmtId="0" fontId="21" fillId="2" borderId="10" xfId="0" applyFont="1" applyFill="1" applyBorder="1" applyAlignment="1">
      <alignment horizontal="left" vertical="center" wrapText="1" indent="1"/>
    </xf>
    <xf numFmtId="0" fontId="0" fillId="2" borderId="4" xfId="0" applyFill="1" applyBorder="1" applyAlignment="1">
      <alignment horizontal="center"/>
    </xf>
    <xf numFmtId="0" fontId="21" fillId="2" borderId="4" xfId="0" applyFont="1" applyFill="1" applyBorder="1" applyAlignment="1">
      <alignment vertical="center"/>
    </xf>
    <xf numFmtId="0" fontId="21" fillId="2" borderId="4" xfId="0" applyFont="1" applyFill="1" applyBorder="1" applyAlignment="1">
      <alignment horizontal="left" vertical="center"/>
    </xf>
    <xf numFmtId="0" fontId="21" fillId="2" borderId="2" xfId="0" applyFont="1" applyFill="1" applyBorder="1" applyAlignment="1">
      <alignment horizontal="left" vertical="top" indent="1"/>
    </xf>
    <xf numFmtId="0" fontId="21" fillId="2" borderId="10" xfId="0" applyFont="1" applyFill="1" applyBorder="1" applyAlignment="1">
      <alignment horizontal="left" vertical="top" indent="1"/>
    </xf>
    <xf numFmtId="0" fontId="21" fillId="2" borderId="6" xfId="0" applyFont="1" applyFill="1" applyBorder="1" applyAlignment="1">
      <alignment horizontal="left" vertical="center" wrapText="1" indent="1"/>
    </xf>
    <xf numFmtId="0" fontId="20" fillId="4" borderId="0" xfId="0" applyFont="1" applyFill="1" applyAlignment="1">
      <alignment horizontal="left" vertical="top" indent="1"/>
    </xf>
    <xf numFmtId="0" fontId="21" fillId="2" borderId="0" xfId="0" applyFont="1" applyFill="1" applyAlignment="1">
      <alignment horizontal="left" vertical="top"/>
    </xf>
    <xf numFmtId="0" fontId="21" fillId="2" borderId="9" xfId="0" applyFont="1" applyFill="1" applyBorder="1" applyAlignment="1">
      <alignment horizontal="left" vertical="center" wrapText="1"/>
    </xf>
    <xf numFmtId="0" fontId="21" fillId="2" borderId="7" xfId="0" applyFont="1" applyFill="1" applyBorder="1" applyAlignment="1">
      <alignment horizontal="left" vertical="top"/>
    </xf>
    <xf numFmtId="0" fontId="21" fillId="2" borderId="4" xfId="0" applyFont="1" applyFill="1" applyBorder="1" applyAlignment="1">
      <alignment vertical="top"/>
    </xf>
    <xf numFmtId="0" fontId="21" fillId="2" borderId="4" xfId="0" applyFont="1" applyFill="1" applyBorder="1" applyAlignment="1">
      <alignment horizontal="left" vertical="top"/>
    </xf>
    <xf numFmtId="0" fontId="21" fillId="2" borderId="9" xfId="0" applyFont="1" applyFill="1" applyBorder="1" applyAlignment="1">
      <alignment horizontal="left" vertical="top"/>
    </xf>
    <xf numFmtId="0" fontId="21" fillId="2" borderId="19" xfId="0" applyFont="1" applyFill="1" applyBorder="1" applyAlignment="1">
      <alignment horizontal="left" vertical="top"/>
    </xf>
    <xf numFmtId="0" fontId="20" fillId="4" borderId="0" xfId="0" applyFont="1" applyFill="1" applyAlignment="1">
      <alignment horizontal="left" vertical="top"/>
    </xf>
    <xf numFmtId="0" fontId="1" fillId="0" borderId="7" xfId="0" applyFont="1" applyBorder="1" applyAlignment="1">
      <alignment horizontal="center"/>
    </xf>
    <xf numFmtId="0" fontId="0" fillId="5" borderId="7" xfId="0" applyFill="1" applyBorder="1"/>
    <xf numFmtId="0" fontId="18" fillId="0" borderId="0" xfId="0" applyFont="1" applyAlignment="1">
      <alignment horizontal="left" indent="2"/>
    </xf>
    <xf numFmtId="0" fontId="5" fillId="0" borderId="0" xfId="4"/>
    <xf numFmtId="0" fontId="5" fillId="2" borderId="0" xfId="4" applyFill="1"/>
    <xf numFmtId="0" fontId="22" fillId="2" borderId="0" xfId="4" applyFont="1" applyFill="1"/>
    <xf numFmtId="0" fontId="0" fillId="2" borderId="0" xfId="0" applyFill="1"/>
    <xf numFmtId="0" fontId="5" fillId="2" borderId="15" xfId="4" applyFill="1" applyBorder="1"/>
    <xf numFmtId="0" fontId="3" fillId="2" borderId="9" xfId="0" applyFont="1" applyFill="1" applyBorder="1" applyAlignment="1">
      <alignment horizontal="right"/>
    </xf>
    <xf numFmtId="0" fontId="4" fillId="2" borderId="9" xfId="0" applyFont="1" applyFill="1" applyBorder="1" applyAlignment="1">
      <alignment horizontal="right"/>
    </xf>
    <xf numFmtId="0" fontId="5" fillId="2" borderId="6" xfId="4" applyFill="1" applyBorder="1"/>
    <xf numFmtId="0" fontId="4" fillId="2" borderId="7" xfId="0" applyFont="1" applyFill="1" applyBorder="1"/>
    <xf numFmtId="0" fontId="4" fillId="2" borderId="7" xfId="0" applyFont="1" applyFill="1" applyBorder="1" applyAlignment="1">
      <alignment horizontal="right"/>
    </xf>
    <xf numFmtId="0" fontId="26" fillId="2" borderId="28" xfId="4" applyFont="1" applyFill="1" applyBorder="1" applyAlignment="1">
      <alignment horizontal="center"/>
    </xf>
    <xf numFmtId="0" fontId="24" fillId="0" borderId="33" xfId="4" applyFont="1" applyBorder="1" applyAlignment="1">
      <alignment horizontal="center" vertical="center" wrapText="1"/>
    </xf>
    <xf numFmtId="0" fontId="24" fillId="2" borderId="30" xfId="4" applyFont="1" applyFill="1" applyBorder="1" applyAlignment="1">
      <alignment horizontal="center" vertical="top" wrapText="1"/>
    </xf>
    <xf numFmtId="0" fontId="5" fillId="0" borderId="0" xfId="4" applyAlignment="1">
      <alignment vertical="center"/>
    </xf>
    <xf numFmtId="0" fontId="5" fillId="0" borderId="29" xfId="4" applyBorder="1" applyAlignment="1">
      <alignment vertical="center"/>
    </xf>
    <xf numFmtId="0" fontId="5" fillId="0" borderId="29" xfId="4" applyBorder="1" applyAlignment="1">
      <alignment horizontal="center" vertical="center"/>
    </xf>
    <xf numFmtId="49" fontId="5" fillId="0" borderId="0" xfId="4" applyNumberFormat="1" applyAlignment="1">
      <alignment vertical="center"/>
    </xf>
    <xf numFmtId="0" fontId="5" fillId="0" borderId="0" xfId="4" quotePrefix="1" applyAlignment="1">
      <alignment vertical="center"/>
    </xf>
    <xf numFmtId="0" fontId="5" fillId="0" borderId="28" xfId="4" applyBorder="1" applyAlignment="1">
      <alignment vertical="center"/>
    </xf>
    <xf numFmtId="0" fontId="5" fillId="0" borderId="28" xfId="4" applyBorder="1" applyAlignment="1">
      <alignment horizontal="left" vertical="center"/>
    </xf>
    <xf numFmtId="0" fontId="5" fillId="0" borderId="29" xfId="4" applyBorder="1" applyAlignment="1">
      <alignment horizontal="left" vertical="center"/>
    </xf>
    <xf numFmtId="0" fontId="5" fillId="5" borderId="29" xfId="4" applyFill="1" applyBorder="1" applyAlignment="1">
      <alignment horizontal="center" vertical="center"/>
    </xf>
    <xf numFmtId="0" fontId="5" fillId="4" borderId="0" xfId="4" applyFill="1" applyAlignment="1">
      <alignment vertical="center"/>
    </xf>
    <xf numFmtId="0" fontId="5" fillId="0" borderId="36" xfId="4" applyBorder="1" applyAlignment="1">
      <alignment vertical="center"/>
    </xf>
    <xf numFmtId="0" fontId="5" fillId="0" borderId="36" xfId="4" applyBorder="1" applyAlignment="1">
      <alignment horizontal="center" vertical="center"/>
    </xf>
    <xf numFmtId="0" fontId="5" fillId="0" borderId="32" xfId="4" quotePrefix="1" applyBorder="1" applyAlignment="1">
      <alignment vertical="center"/>
    </xf>
    <xf numFmtId="0" fontId="5" fillId="7" borderId="36" xfId="4" applyFill="1" applyBorder="1"/>
    <xf numFmtId="0" fontId="5" fillId="7" borderId="32" xfId="4" applyFill="1" applyBorder="1"/>
    <xf numFmtId="0" fontId="5" fillId="7" borderId="30" xfId="4" applyFill="1" applyBorder="1"/>
    <xf numFmtId="0" fontId="5" fillId="8" borderId="34" xfId="4" applyFill="1" applyBorder="1"/>
    <xf numFmtId="0" fontId="5" fillId="0" borderId="32" xfId="4" applyBorder="1"/>
    <xf numFmtId="0" fontId="0" fillId="0" borderId="32" xfId="0" applyBorder="1"/>
    <xf numFmtId="0" fontId="0" fillId="0" borderId="30" xfId="0" applyBorder="1"/>
    <xf numFmtId="172" fontId="5" fillId="0" borderId="32" xfId="4" applyNumberFormat="1" applyBorder="1" applyAlignment="1">
      <alignment horizontal="center"/>
    </xf>
    <xf numFmtId="0" fontId="5" fillId="9" borderId="32" xfId="4" applyFill="1" applyBorder="1"/>
    <xf numFmtId="0" fontId="1" fillId="9" borderId="32" xfId="0" applyFont="1" applyFill="1" applyBorder="1" applyAlignment="1">
      <alignment vertical="center"/>
    </xf>
    <xf numFmtId="0" fontId="1" fillId="9" borderId="32" xfId="0" applyFont="1" applyFill="1" applyBorder="1"/>
    <xf numFmtId="0" fontId="1" fillId="9" borderId="30" xfId="0" applyFont="1" applyFill="1" applyBorder="1"/>
    <xf numFmtId="0" fontId="6" fillId="9" borderId="32" xfId="4" applyFont="1" applyFill="1" applyBorder="1"/>
    <xf numFmtId="0" fontId="0" fillId="9" borderId="32" xfId="0" applyFill="1" applyBorder="1"/>
    <xf numFmtId="0" fontId="5" fillId="0" borderId="29" xfId="4" applyBorder="1"/>
    <xf numFmtId="0" fontId="5" fillId="0" borderId="19" xfId="4" applyBorder="1"/>
    <xf numFmtId="0" fontId="5" fillId="5" borderId="0" xfId="4" quotePrefix="1" applyFill="1" applyAlignment="1">
      <alignment vertical="center"/>
    </xf>
    <xf numFmtId="0" fontId="5" fillId="0" borderId="0" xfId="4" applyAlignment="1">
      <alignment horizontal="center"/>
    </xf>
    <xf numFmtId="0" fontId="5" fillId="0" borderId="0" xfId="4" applyAlignment="1">
      <alignment horizontal="left" indent="1"/>
    </xf>
    <xf numFmtId="0" fontId="5" fillId="0" borderId="8" xfId="4" applyBorder="1" applyAlignment="1">
      <alignment horizontal="left" vertical="center" wrapText="1"/>
    </xf>
    <xf numFmtId="0" fontId="5" fillId="0" borderId="1" xfId="4" applyBorder="1" applyAlignment="1">
      <alignment horizontal="left" vertical="center" wrapText="1"/>
    </xf>
    <xf numFmtId="3" fontId="7" fillId="0" borderId="0" xfId="0" applyNumberFormat="1" applyFont="1"/>
    <xf numFmtId="0" fontId="13" fillId="0" borderId="0" xfId="0" applyFont="1"/>
    <xf numFmtId="0" fontId="4" fillId="0" borderId="1" xfId="1" applyNumberFormat="1" applyFont="1" applyFill="1" applyBorder="1" applyAlignment="1">
      <alignment horizontal="center" vertical="center"/>
    </xf>
    <xf numFmtId="164" fontId="14" fillId="0" borderId="8"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3" fontId="11" fillId="4" borderId="0" xfId="0" applyNumberFormat="1" applyFont="1" applyFill="1"/>
    <xf numFmtId="0" fontId="0" fillId="2" borderId="7" xfId="0" applyFill="1" applyBorder="1"/>
    <xf numFmtId="0" fontId="4" fillId="2" borderId="10" xfId="0" applyFont="1" applyFill="1" applyBorder="1" applyAlignment="1">
      <alignment horizontal="center"/>
    </xf>
    <xf numFmtId="0" fontId="0" fillId="2" borderId="9" xfId="0" applyFill="1" applyBorder="1"/>
    <xf numFmtId="0" fontId="0" fillId="0" borderId="0" xfId="0" applyAlignment="1">
      <alignment vertical="center"/>
    </xf>
    <xf numFmtId="0" fontId="31" fillId="2" borderId="0" xfId="0" applyFont="1" applyFill="1"/>
    <xf numFmtId="0" fontId="0" fillId="2" borderId="0" xfId="0" applyFill="1" applyAlignment="1">
      <alignment vertical="center"/>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vertical="top" wrapText="1"/>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0" xfId="0" applyFont="1" applyFill="1" applyAlignment="1">
      <alignment vertical="center"/>
    </xf>
    <xf numFmtId="170" fontId="4" fillId="4" borderId="15" xfId="0" applyNumberFormat="1" applyFont="1" applyFill="1" applyBorder="1" applyAlignment="1">
      <alignment horizontal="right"/>
    </xf>
    <xf numFmtId="170" fontId="4" fillId="4" borderId="9" xfId="0" applyNumberFormat="1" applyFont="1" applyFill="1" applyBorder="1" applyAlignment="1">
      <alignment horizontal="right"/>
    </xf>
    <xf numFmtId="170" fontId="4" fillId="4" borderId="16" xfId="0" applyNumberFormat="1" applyFont="1" applyFill="1" applyBorder="1" applyAlignment="1">
      <alignment horizontal="right"/>
    </xf>
    <xf numFmtId="170" fontId="4" fillId="4" borderId="9" xfId="0" applyNumberFormat="1" applyFont="1" applyFill="1" applyBorder="1"/>
    <xf numFmtId="170" fontId="4" fillId="4" borderId="16" xfId="0" applyNumberFormat="1" applyFont="1" applyFill="1" applyBorder="1"/>
    <xf numFmtId="0" fontId="4" fillId="0" borderId="17" xfId="0" applyFont="1" applyBorder="1" applyAlignment="1">
      <alignment horizontal="left" indent="2"/>
    </xf>
    <xf numFmtId="170" fontId="4" fillId="4" borderId="7" xfId="0" applyNumberFormat="1" applyFont="1" applyFill="1" applyBorder="1" applyAlignment="1">
      <alignment horizontal="center"/>
    </xf>
    <xf numFmtId="3" fontId="5" fillId="3" borderId="7" xfId="0" applyNumberFormat="1" applyFont="1" applyFill="1" applyBorder="1"/>
    <xf numFmtId="170" fontId="0" fillId="3" borderId="4" xfId="0" applyNumberFormat="1" applyFill="1" applyBorder="1"/>
    <xf numFmtId="0" fontId="17" fillId="0" borderId="0" xfId="0" applyFont="1"/>
    <xf numFmtId="164" fontId="0" fillId="2" borderId="7" xfId="1" applyNumberFormat="1" applyFont="1" applyFill="1" applyBorder="1"/>
    <xf numFmtId="164" fontId="0" fillId="2" borderId="0" xfId="1" applyNumberFormat="1" applyFont="1" applyFill="1" applyBorder="1"/>
    <xf numFmtId="0" fontId="0" fillId="2" borderId="29" xfId="0" applyFill="1" applyBorder="1"/>
    <xf numFmtId="0" fontId="0" fillId="2" borderId="0" xfId="0" applyFill="1" applyAlignment="1">
      <alignment horizontal="right"/>
    </xf>
    <xf numFmtId="0" fontId="0" fillId="2" borderId="36" xfId="0" applyFill="1" applyBorder="1"/>
    <xf numFmtId="164" fontId="0" fillId="2" borderId="32" xfId="1" applyNumberFormat="1" applyFont="1" applyFill="1" applyBorder="1"/>
    <xf numFmtId="0" fontId="0" fillId="2" borderId="32" xfId="0" applyFill="1" applyBorder="1"/>
    <xf numFmtId="0" fontId="1" fillId="2" borderId="32" xfId="0" applyFont="1" applyFill="1" applyBorder="1" applyAlignment="1">
      <alignment horizontal="right"/>
    </xf>
    <xf numFmtId="164" fontId="1" fillId="3" borderId="43" xfId="1" applyNumberFormat="1" applyFont="1" applyFill="1" applyBorder="1"/>
    <xf numFmtId="0" fontId="1" fillId="3" borderId="43" xfId="0" applyFont="1" applyFill="1" applyBorder="1"/>
    <xf numFmtId="0" fontId="0" fillId="3" borderId="43" xfId="0" applyFill="1" applyBorder="1"/>
    <xf numFmtId="0" fontId="0" fillId="2" borderId="37" xfId="0" applyFill="1" applyBorder="1"/>
    <xf numFmtId="164" fontId="0" fillId="2" borderId="19" xfId="1" applyNumberFormat="1" applyFont="1" applyFill="1" applyBorder="1"/>
    <xf numFmtId="0" fontId="0" fillId="2" borderId="19" xfId="0" applyFill="1" applyBorder="1"/>
    <xf numFmtId="0" fontId="0" fillId="2" borderId="29" xfId="0" applyFill="1" applyBorder="1" applyAlignment="1">
      <alignment horizontal="left" indent="6"/>
    </xf>
    <xf numFmtId="164" fontId="0" fillId="2" borderId="28" xfId="1" applyNumberFormat="1" applyFont="1" applyFill="1" applyBorder="1"/>
    <xf numFmtId="0" fontId="0" fillId="2" borderId="37" xfId="0" applyFill="1" applyBorder="1" applyAlignment="1">
      <alignment horizontal="left" indent="6"/>
    </xf>
    <xf numFmtId="173" fontId="0" fillId="2" borderId="38" xfId="1" applyNumberFormat="1" applyFont="1" applyFill="1" applyBorder="1"/>
    <xf numFmtId="164" fontId="0" fillId="2" borderId="46" xfId="0" applyNumberFormat="1" applyFill="1" applyBorder="1"/>
    <xf numFmtId="0" fontId="4" fillId="2" borderId="7" xfId="0" applyFont="1" applyFill="1" applyBorder="1" applyAlignment="1">
      <alignment horizontal="right" vertical="top"/>
    </xf>
    <xf numFmtId="3" fontId="4" fillId="2" borderId="7" xfId="0" applyNumberFormat="1" applyFont="1" applyFill="1" applyBorder="1" applyAlignment="1">
      <alignment horizontal="right" vertical="top"/>
    </xf>
    <xf numFmtId="0" fontId="4" fillId="2" borderId="6" xfId="0" applyFont="1" applyFill="1" applyBorder="1" applyAlignment="1">
      <alignment horizontal="center"/>
    </xf>
    <xf numFmtId="170" fontId="4" fillId="4" borderId="6" xfId="0" applyNumberFormat="1" applyFont="1" applyFill="1" applyBorder="1"/>
    <xf numFmtId="170" fontId="4" fillId="4" borderId="7" xfId="0" applyNumberFormat="1" applyFont="1" applyFill="1" applyBorder="1"/>
    <xf numFmtId="174" fontId="0" fillId="0" borderId="9" xfId="0" applyNumberFormat="1" applyBorder="1"/>
    <xf numFmtId="174" fontId="0" fillId="0" borderId="0" xfId="0" applyNumberFormat="1"/>
    <xf numFmtId="174" fontId="4" fillId="4" borderId="0" xfId="0" applyNumberFormat="1" applyFont="1" applyFill="1" applyAlignment="1">
      <alignment horizontal="center"/>
    </xf>
    <xf numFmtId="174" fontId="0" fillId="0" borderId="7" xfId="0" applyNumberFormat="1" applyBorder="1"/>
    <xf numFmtId="174" fontId="4" fillId="4" borderId="7" xfId="0" applyNumberFormat="1" applyFont="1" applyFill="1" applyBorder="1" applyAlignment="1">
      <alignment horizontal="center"/>
    </xf>
    <xf numFmtId="174" fontId="4" fillId="5" borderId="15" xfId="0" applyNumberFormat="1" applyFont="1" applyFill="1" applyBorder="1"/>
    <xf numFmtId="174" fontId="4" fillId="5" borderId="0" xfId="0" applyNumberFormat="1" applyFont="1" applyFill="1"/>
    <xf numFmtId="174" fontId="4" fillId="5" borderId="16" xfId="0" applyNumberFormat="1" applyFont="1" applyFill="1" applyBorder="1"/>
    <xf numFmtId="174" fontId="4" fillId="5" borderId="18" xfId="0" applyNumberFormat="1" applyFont="1" applyFill="1" applyBorder="1"/>
    <xf numFmtId="174" fontId="4" fillId="5" borderId="17" xfId="0" applyNumberFormat="1" applyFont="1" applyFill="1" applyBorder="1"/>
    <xf numFmtId="174" fontId="4" fillId="5" borderId="6" xfId="0" applyNumberFormat="1" applyFont="1" applyFill="1" applyBorder="1"/>
    <xf numFmtId="174" fontId="4" fillId="5" borderId="7" xfId="0" applyNumberFormat="1" applyFont="1" applyFill="1" applyBorder="1"/>
    <xf numFmtId="174" fontId="4" fillId="5" borderId="10" xfId="0" applyNumberFormat="1" applyFont="1" applyFill="1" applyBorder="1"/>
    <xf numFmtId="0" fontId="4" fillId="2" borderId="7" xfId="0" applyFont="1" applyFill="1" applyBorder="1" applyAlignment="1">
      <alignment horizontal="left" vertical="top" wrapText="1" indent="2"/>
    </xf>
    <xf numFmtId="0" fontId="4" fillId="2" borderId="0" xfId="0" applyFont="1" applyFill="1" applyAlignment="1">
      <alignment horizontal="left" vertical="top" wrapText="1" indent="2"/>
    </xf>
    <xf numFmtId="166" fontId="4" fillId="0" borderId="1" xfId="1" applyNumberFormat="1" applyFont="1" applyFill="1" applyBorder="1" applyAlignment="1">
      <alignment horizontal="centerContinuous" vertical="center" wrapText="1"/>
    </xf>
    <xf numFmtId="164" fontId="4" fillId="0" borderId="1" xfId="1" applyNumberFormat="1" applyFont="1" applyFill="1" applyBorder="1" applyAlignment="1">
      <alignment horizontal="centerContinuous" vertical="center" wrapText="1"/>
    </xf>
    <xf numFmtId="164" fontId="5" fillId="0" borderId="1" xfId="1" applyNumberFormat="1" applyFont="1" applyFill="1" applyBorder="1" applyAlignment="1">
      <alignment horizontal="right" vertical="center" wrapText="1"/>
    </xf>
    <xf numFmtId="176" fontId="4" fillId="5" borderId="16" xfId="0" applyNumberFormat="1" applyFont="1" applyFill="1" applyBorder="1" applyAlignment="1">
      <alignment horizontal="center"/>
    </xf>
    <xf numFmtId="176" fontId="4" fillId="5" borderId="10" xfId="0" applyNumberFormat="1" applyFont="1" applyFill="1" applyBorder="1" applyAlignment="1">
      <alignment horizontal="center"/>
    </xf>
    <xf numFmtId="0" fontId="4" fillId="2" borderId="4" xfId="0" applyFont="1" applyFill="1" applyBorder="1" applyAlignment="1">
      <alignment vertical="top" wrapText="1"/>
    </xf>
    <xf numFmtId="0" fontId="4" fillId="2" borderId="0" xfId="0" applyFont="1" applyFill="1" applyAlignment="1">
      <alignment horizontal="right" vertical="top"/>
    </xf>
    <xf numFmtId="0" fontId="4" fillId="2" borderId="7" xfId="0" applyFont="1" applyFill="1" applyBorder="1" applyAlignment="1">
      <alignment horizontal="left" vertical="top" wrapText="1" indent="8"/>
    </xf>
    <xf numFmtId="0" fontId="5" fillId="2" borderId="0" xfId="0" applyFont="1" applyFill="1" applyAlignment="1">
      <alignment horizontal="center" vertical="top"/>
    </xf>
    <xf numFmtId="0" fontId="5" fillId="2" borderId="7" xfId="0" applyFont="1" applyFill="1" applyBorder="1" applyAlignment="1">
      <alignment horizontal="center" vertical="top"/>
    </xf>
    <xf numFmtId="0" fontId="3" fillId="2" borderId="4" xfId="0" applyFont="1" applyFill="1" applyBorder="1" applyAlignment="1">
      <alignment vertical="center" wrapText="1"/>
    </xf>
    <xf numFmtId="0" fontId="4" fillId="2" borderId="4" xfId="0" applyFont="1" applyFill="1" applyBorder="1" applyAlignment="1">
      <alignment horizontal="center" vertical="center"/>
    </xf>
    <xf numFmtId="0" fontId="3" fillId="2" borderId="7" xfId="0" applyFont="1" applyFill="1" applyBorder="1" applyAlignment="1">
      <alignment vertical="center"/>
    </xf>
    <xf numFmtId="0" fontId="4" fillId="2" borderId="4" xfId="0" applyFont="1" applyFill="1" applyBorder="1" applyAlignment="1">
      <alignment horizontal="left" vertical="top" wrapText="1" indent="1"/>
    </xf>
    <xf numFmtId="0" fontId="4" fillId="2" borderId="0" xfId="0" applyFont="1" applyFill="1" applyAlignment="1">
      <alignment horizontal="left" vertical="center" wrapText="1" indent="1"/>
    </xf>
    <xf numFmtId="0" fontId="4" fillId="2" borderId="7" xfId="0" applyFont="1" applyFill="1" applyBorder="1" applyAlignment="1">
      <alignment horizontal="left" vertical="center" wrapText="1" indent="1"/>
    </xf>
    <xf numFmtId="166" fontId="4" fillId="2" borderId="1" xfId="1" applyNumberFormat="1" applyFont="1" applyFill="1" applyBorder="1" applyAlignment="1">
      <alignment horizontal="centerContinuous" vertical="center" wrapText="1"/>
    </xf>
    <xf numFmtId="164" fontId="4" fillId="0" borderId="8" xfId="1" applyNumberFormat="1" applyFont="1" applyFill="1" applyBorder="1" applyAlignment="1">
      <alignment horizontal="center" vertical="center" wrapText="1"/>
    </xf>
    <xf numFmtId="171" fontId="5" fillId="0" borderId="5" xfId="1" applyNumberFormat="1" applyFont="1" applyFill="1" applyBorder="1" applyAlignment="1">
      <alignment horizontal="right" vertical="center" wrapText="1"/>
    </xf>
    <xf numFmtId="169" fontId="4" fillId="0" borderId="1" xfId="1" applyNumberFormat="1" applyFont="1" applyFill="1" applyBorder="1" applyAlignment="1">
      <alignment horizontal="centerContinuous" vertical="center" wrapText="1"/>
    </xf>
    <xf numFmtId="171" fontId="5" fillId="0" borderId="1" xfId="1" applyNumberFormat="1" applyFont="1" applyFill="1" applyBorder="1" applyAlignment="1">
      <alignment horizontal="right" vertical="center" wrapText="1"/>
    </xf>
    <xf numFmtId="0" fontId="4" fillId="5" borderId="12" xfId="1" applyNumberFormat="1" applyFont="1" applyFill="1" applyBorder="1" applyAlignment="1">
      <alignment vertical="top" wrapText="1"/>
    </xf>
    <xf numFmtId="166" fontId="5" fillId="0" borderId="1" xfId="1" applyNumberFormat="1" applyFont="1" applyFill="1" applyBorder="1" applyAlignment="1">
      <alignment horizontal="centerContinuous" vertical="center" wrapText="1"/>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4" fillId="2" borderId="7" xfId="0" applyFont="1" applyFill="1" applyBorder="1" applyAlignment="1">
      <alignment horizontal="center" vertical="top"/>
    </xf>
    <xf numFmtId="0" fontId="3" fillId="2" borderId="4" xfId="0" applyFont="1" applyFill="1" applyBorder="1" applyAlignment="1">
      <alignment horizontal="left" vertical="top" wrapText="1" indent="2"/>
    </xf>
    <xf numFmtId="0" fontId="3" fillId="2" borderId="4" xfId="0" applyFont="1" applyFill="1" applyBorder="1" applyAlignment="1">
      <alignment horizontal="center" vertical="top"/>
    </xf>
    <xf numFmtId="0" fontId="4" fillId="2" borderId="4" xfId="0" applyFont="1" applyFill="1" applyBorder="1" applyAlignment="1">
      <alignment horizontal="center" vertical="top"/>
    </xf>
    <xf numFmtId="0" fontId="4" fillId="2" borderId="7" xfId="0" applyFont="1" applyFill="1" applyBorder="1" applyAlignment="1">
      <alignment horizontal="right" vertical="top" wrapText="1"/>
    </xf>
    <xf numFmtId="0" fontId="3" fillId="2" borderId="7" xfId="0" applyFont="1" applyFill="1" applyBorder="1" applyAlignment="1">
      <alignment horizontal="left" vertical="top" wrapText="1" indent="2"/>
    </xf>
    <xf numFmtId="0" fontId="3" fillId="2" borderId="4" xfId="0" applyFont="1" applyFill="1" applyBorder="1" applyAlignment="1">
      <alignment horizontal="left" vertical="top" wrapText="1"/>
    </xf>
    <xf numFmtId="0" fontId="4" fillId="2" borderId="0" xfId="0" applyFont="1" applyFill="1" applyAlignment="1">
      <alignment horizontal="right" vertical="top" wrapText="1"/>
    </xf>
    <xf numFmtId="0" fontId="3" fillId="2" borderId="9" xfId="0" applyFont="1" applyFill="1" applyBorder="1" applyAlignment="1">
      <alignment horizontal="left" vertical="top" wrapText="1"/>
    </xf>
    <xf numFmtId="0" fontId="4" fillId="2" borderId="9" xfId="0" applyFont="1" applyFill="1" applyBorder="1" applyAlignment="1">
      <alignment horizontal="center" vertical="top"/>
    </xf>
    <xf numFmtId="0" fontId="17" fillId="2" borderId="0" xfId="0" applyFont="1" applyFill="1"/>
    <xf numFmtId="0" fontId="4" fillId="2" borderId="0" xfId="0" applyFont="1" applyFill="1" applyAlignment="1">
      <alignment horizontal="left" vertical="top" wrapText="1" indent="4"/>
    </xf>
    <xf numFmtId="0" fontId="3" fillId="2" borderId="7" xfId="0" applyFont="1" applyFill="1" applyBorder="1" applyAlignment="1">
      <alignment vertical="top" wrapText="1"/>
    </xf>
    <xf numFmtId="3" fontId="4" fillId="2" borderId="4" xfId="0" applyNumberFormat="1" applyFont="1" applyFill="1" applyBorder="1" applyAlignment="1">
      <alignment horizontal="right" vertical="top"/>
    </xf>
    <xf numFmtId="3" fontId="4" fillId="2" borderId="0" xfId="0" applyNumberFormat="1" applyFont="1" applyFill="1" applyAlignment="1">
      <alignment horizontal="right" vertical="top"/>
    </xf>
    <xf numFmtId="0" fontId="3" fillId="3" borderId="7" xfId="0" applyFont="1" applyFill="1" applyBorder="1" applyAlignment="1">
      <alignment vertical="center"/>
    </xf>
    <xf numFmtId="0" fontId="3" fillId="3" borderId="7" xfId="0" applyFont="1" applyFill="1" applyBorder="1" applyAlignment="1">
      <alignment horizontal="center"/>
    </xf>
    <xf numFmtId="0" fontId="31" fillId="2" borderId="0" xfId="0" applyFont="1" applyFill="1" applyAlignment="1">
      <alignment horizontal="center"/>
    </xf>
    <xf numFmtId="0" fontId="5" fillId="2" borderId="0" xfId="0" applyFont="1" applyFill="1" applyAlignment="1">
      <alignment horizontal="right" vertical="top"/>
    </xf>
    <xf numFmtId="0" fontId="5" fillId="2" borderId="7" xfId="0" applyFont="1" applyFill="1" applyBorder="1" applyAlignment="1">
      <alignment horizontal="right" vertical="top"/>
    </xf>
    <xf numFmtId="0" fontId="4" fillId="2" borderId="7" xfId="0" applyFont="1" applyFill="1" applyBorder="1" applyAlignment="1">
      <alignment horizontal="right" vertical="center"/>
    </xf>
    <xf numFmtId="0" fontId="18" fillId="2" borderId="0" xfId="0" applyFont="1" applyFill="1" applyAlignment="1">
      <alignment horizontal="left" vertical="center"/>
    </xf>
    <xf numFmtId="0" fontId="1" fillId="2" borderId="0" xfId="0" applyFont="1" applyFill="1"/>
    <xf numFmtId="0" fontId="0" fillId="2" borderId="0" xfId="0" applyFill="1" applyAlignment="1">
      <alignment horizontal="center"/>
    </xf>
    <xf numFmtId="0" fontId="0" fillId="2" borderId="0" xfId="0" applyFill="1" applyAlignment="1">
      <alignment horizontal="left" indent="2"/>
    </xf>
    <xf numFmtId="0" fontId="14" fillId="2" borderId="0" xfId="0" applyFont="1" applyFill="1"/>
    <xf numFmtId="0" fontId="4" fillId="2" borderId="7" xfId="0" applyFont="1" applyFill="1" applyBorder="1" applyAlignment="1">
      <alignment horizontal="right" vertical="top" wrapText="1" indent="1"/>
    </xf>
    <xf numFmtId="0" fontId="4" fillId="2" borderId="0" xfId="0" applyFont="1" applyFill="1" applyAlignment="1">
      <alignment horizontal="right" vertical="top" wrapText="1" indent="1"/>
    </xf>
    <xf numFmtId="0" fontId="4" fillId="2" borderId="0" xfId="0" applyFont="1" applyFill="1" applyAlignment="1">
      <alignment horizontal="right" vertical="center" wrapText="1" indent="1"/>
    </xf>
    <xf numFmtId="0" fontId="4" fillId="2" borderId="7" xfId="0" applyFont="1" applyFill="1" applyBorder="1" applyAlignment="1">
      <alignment vertical="center" wrapText="1"/>
    </xf>
    <xf numFmtId="1" fontId="5" fillId="2" borderId="7" xfId="0" applyNumberFormat="1" applyFont="1" applyFill="1" applyBorder="1" applyAlignment="1">
      <alignment horizontal="right" vertical="top"/>
    </xf>
    <xf numFmtId="44" fontId="0" fillId="2" borderId="0" xfId="2" applyFont="1" applyFill="1"/>
    <xf numFmtId="43" fontId="0" fillId="2" borderId="0" xfId="0" applyNumberFormat="1" applyFill="1"/>
    <xf numFmtId="0" fontId="0" fillId="9" borderId="0" xfId="0" applyFill="1"/>
    <xf numFmtId="0" fontId="4" fillId="5" borderId="0" xfId="0" applyFont="1" applyFill="1" applyAlignment="1">
      <alignment vertical="center"/>
    </xf>
    <xf numFmtId="0" fontId="4" fillId="5" borderId="0" xfId="0" applyFont="1" applyFill="1"/>
    <xf numFmtId="0" fontId="0" fillId="5" borderId="0" xfId="0" applyFill="1"/>
    <xf numFmtId="0" fontId="18" fillId="5" borderId="0" xfId="0" applyFont="1" applyFill="1"/>
    <xf numFmtId="0" fontId="17" fillId="5" borderId="0" xfId="0" applyFont="1" applyFill="1"/>
    <xf numFmtId="0" fontId="34" fillId="11" borderId="8" xfId="4" applyFont="1" applyFill="1" applyBorder="1" applyAlignment="1">
      <alignment horizontal="left" vertical="center" wrapText="1"/>
    </xf>
    <xf numFmtId="0" fontId="5" fillId="0" borderId="28" xfId="4" applyBorder="1" applyAlignment="1">
      <alignment horizontal="left" vertical="center" wrapText="1"/>
    </xf>
    <xf numFmtId="0" fontId="5" fillId="0" borderId="30" xfId="4" applyBorder="1" applyAlignment="1">
      <alignment vertical="center"/>
    </xf>
    <xf numFmtId="0" fontId="5" fillId="5" borderId="28" xfId="4" applyFill="1" applyBorder="1" applyAlignment="1">
      <alignment horizontal="left" vertical="center" wrapText="1"/>
    </xf>
    <xf numFmtId="3" fontId="5" fillId="0" borderId="0" xfId="4" applyNumberFormat="1" applyAlignment="1">
      <alignment horizontal="center" vertical="center"/>
    </xf>
    <xf numFmtId="0" fontId="33" fillId="2" borderId="0" xfId="0" applyFont="1" applyFill="1"/>
    <xf numFmtId="164" fontId="3" fillId="2" borderId="6" xfId="1" applyNumberFormat="1" applyFont="1" applyFill="1" applyBorder="1" applyAlignment="1">
      <alignment horizontal="center" vertical="center" wrapText="1"/>
    </xf>
    <xf numFmtId="0" fontId="20" fillId="0" borderId="0" xfId="0" applyFont="1"/>
    <xf numFmtId="164" fontId="4" fillId="0" borderId="0" xfId="1" applyNumberFormat="1" applyFont="1" applyFill="1" applyAlignment="1">
      <alignment horizontal="center" vertical="center"/>
    </xf>
    <xf numFmtId="0" fontId="0" fillId="4" borderId="0" xfId="0" applyFill="1"/>
    <xf numFmtId="164" fontId="0" fillId="4" borderId="0" xfId="1" applyNumberFormat="1" applyFont="1" applyFill="1"/>
    <xf numFmtId="164" fontId="0" fillId="4" borderId="0" xfId="1" applyNumberFormat="1" applyFont="1" applyFill="1" applyAlignment="1">
      <alignment horizontal="right"/>
    </xf>
    <xf numFmtId="164" fontId="0" fillId="2" borderId="8" xfId="0" applyNumberFormat="1" applyFill="1" applyBorder="1" applyAlignment="1">
      <alignment vertical="center" wrapText="1"/>
    </xf>
    <xf numFmtId="168" fontId="0" fillId="2" borderId="8" xfId="3" applyNumberFormat="1" applyFont="1" applyFill="1" applyBorder="1" applyAlignment="1">
      <alignment vertical="center" wrapText="1"/>
    </xf>
    <xf numFmtId="0" fontId="4" fillId="0" borderId="0" xfId="0" applyFont="1" applyAlignment="1">
      <alignment horizontal="center" vertical="center"/>
    </xf>
    <xf numFmtId="178" fontId="5" fillId="0" borderId="28" xfId="4" applyNumberFormat="1" applyBorder="1" applyAlignment="1">
      <alignment horizontal="center" vertical="center" wrapText="1"/>
    </xf>
    <xf numFmtId="178" fontId="5" fillId="0" borderId="35" xfId="4" applyNumberFormat="1" applyBorder="1" applyAlignment="1">
      <alignment horizontal="center" vertical="center" wrapText="1"/>
    </xf>
    <xf numFmtId="178" fontId="5" fillId="5" borderId="28" xfId="4" applyNumberFormat="1" applyFill="1" applyBorder="1" applyAlignment="1">
      <alignment horizontal="center" vertical="center" wrapText="1"/>
    </xf>
    <xf numFmtId="0" fontId="17" fillId="10" borderId="0" xfId="0" applyFont="1" applyFill="1"/>
    <xf numFmtId="0" fontId="21" fillId="0" borderId="7" xfId="0" applyFont="1" applyBorder="1" applyAlignment="1">
      <alignment horizontal="left" vertical="top"/>
    </xf>
    <xf numFmtId="0" fontId="21" fillId="5" borderId="0" xfId="0" applyFont="1" applyFill="1" applyAlignment="1">
      <alignment horizontal="left" indent="1"/>
    </xf>
    <xf numFmtId="0" fontId="21" fillId="5" borderId="0" xfId="4" applyFont="1" applyFill="1"/>
    <xf numFmtId="0" fontId="21" fillId="5" borderId="0" xfId="0" applyFont="1" applyFill="1"/>
    <xf numFmtId="49" fontId="4" fillId="0" borderId="0" xfId="1" applyNumberFormat="1" applyFont="1" applyFill="1" applyAlignment="1">
      <alignment vertical="top" wrapText="1"/>
    </xf>
    <xf numFmtId="49" fontId="4" fillId="0" borderId="0" xfId="1" applyNumberFormat="1" applyFont="1" applyFill="1" applyAlignment="1">
      <alignment vertical="top"/>
    </xf>
    <xf numFmtId="164" fontId="0" fillId="0" borderId="0" xfId="1" applyNumberFormat="1" applyFont="1" applyFill="1" applyAlignment="1">
      <alignment horizontal="center" wrapText="1"/>
    </xf>
    <xf numFmtId="164" fontId="4" fillId="0" borderId="0" xfId="1" applyNumberFormat="1" applyFont="1" applyFill="1" applyAlignment="1">
      <alignment horizontal="center" vertical="center" wrapText="1"/>
    </xf>
    <xf numFmtId="0" fontId="5" fillId="0" borderId="28" xfId="4" applyBorder="1"/>
    <xf numFmtId="0" fontId="0" fillId="0" borderId="29" xfId="0" applyBorder="1"/>
    <xf numFmtId="0" fontId="5" fillId="5" borderId="28" xfId="4" applyFill="1" applyBorder="1" applyAlignment="1">
      <alignment vertical="center"/>
    </xf>
    <xf numFmtId="164" fontId="7" fillId="0" borderId="8" xfId="1" applyNumberFormat="1" applyFont="1" applyFill="1" applyBorder="1" applyAlignment="1">
      <alignment horizontal="center" vertical="center" wrapText="1"/>
    </xf>
    <xf numFmtId="178" fontId="5" fillId="0" borderId="21" xfId="4" applyNumberFormat="1" applyBorder="1" applyAlignment="1">
      <alignment horizontal="center" vertical="center" wrapText="1"/>
    </xf>
    <xf numFmtId="178" fontId="5" fillId="0" borderId="20" xfId="4" applyNumberFormat="1" applyBorder="1" applyAlignment="1">
      <alignment horizontal="center" vertical="center" wrapText="1"/>
    </xf>
    <xf numFmtId="178" fontId="11" fillId="0" borderId="0" xfId="4" applyNumberFormat="1" applyFont="1" applyAlignment="1">
      <alignment horizontal="center" vertical="center" wrapText="1"/>
    </xf>
    <xf numFmtId="178" fontId="5" fillId="0" borderId="0" xfId="4" applyNumberFormat="1" applyAlignment="1">
      <alignment horizontal="center" vertical="center" wrapText="1"/>
    </xf>
    <xf numFmtId="178" fontId="5" fillId="0" borderId="22" xfId="4" applyNumberFormat="1" applyBorder="1" applyAlignment="1">
      <alignment horizontal="center" vertical="center" wrapText="1"/>
    </xf>
    <xf numFmtId="178" fontId="5" fillId="0" borderId="29" xfId="4" applyNumberFormat="1" applyBorder="1" applyAlignment="1">
      <alignment horizontal="center" vertical="center" wrapText="1"/>
    </xf>
    <xf numFmtId="178" fontId="11" fillId="0" borderId="29" xfId="4" applyNumberFormat="1" applyFont="1" applyBorder="1" applyAlignment="1">
      <alignment horizontal="center" vertical="center" wrapText="1"/>
    </xf>
    <xf numFmtId="178" fontId="11" fillId="0" borderId="28" xfId="4" applyNumberFormat="1" applyFont="1" applyBorder="1" applyAlignment="1">
      <alignment horizontal="center" vertical="center" wrapText="1"/>
    </xf>
    <xf numFmtId="178" fontId="5" fillId="2" borderId="28" xfId="4" applyNumberFormat="1" applyFill="1" applyBorder="1" applyAlignment="1">
      <alignment horizontal="center" vertical="center" wrapText="1"/>
    </xf>
    <xf numFmtId="178" fontId="11" fillId="0" borderId="28" xfId="4" quotePrefix="1" applyNumberFormat="1" applyFont="1" applyBorder="1" applyAlignment="1">
      <alignment horizontal="center" vertical="center" wrapText="1"/>
    </xf>
    <xf numFmtId="178" fontId="5" fillId="2" borderId="35" xfId="4" applyNumberFormat="1" applyFill="1" applyBorder="1" applyAlignment="1">
      <alignment horizontal="center" vertical="center" wrapText="1"/>
    </xf>
    <xf numFmtId="178" fontId="11" fillId="9" borderId="28" xfId="4" applyNumberFormat="1" applyFont="1" applyFill="1" applyBorder="1" applyAlignment="1">
      <alignment horizontal="center" vertical="center" wrapText="1"/>
    </xf>
    <xf numFmtId="178" fontId="5" fillId="5" borderId="0" xfId="4" applyNumberFormat="1" applyFill="1" applyAlignment="1">
      <alignment horizontal="center" vertical="center" wrapText="1"/>
    </xf>
    <xf numFmtId="178" fontId="11" fillId="5" borderId="28" xfId="4" applyNumberFormat="1" applyFont="1" applyFill="1" applyBorder="1" applyAlignment="1">
      <alignment horizontal="center" vertical="center" wrapText="1"/>
    </xf>
    <xf numFmtId="178" fontId="11" fillId="5" borderId="29" xfId="4" applyNumberFormat="1" applyFont="1" applyFill="1" applyBorder="1" applyAlignment="1">
      <alignment horizontal="center" vertical="center" wrapText="1"/>
    </xf>
    <xf numFmtId="178" fontId="5" fillId="0" borderId="37" xfId="4" applyNumberFormat="1" applyBorder="1" applyAlignment="1">
      <alignment horizontal="center" vertical="center" wrapText="1"/>
    </xf>
    <xf numFmtId="178" fontId="5" fillId="0" borderId="19" xfId="4" applyNumberFormat="1" applyBorder="1" applyAlignment="1">
      <alignment horizontal="center" vertical="center" wrapText="1"/>
    </xf>
    <xf numFmtId="178" fontId="5" fillId="0" borderId="38" xfId="4" applyNumberFormat="1" applyBorder="1" applyAlignment="1">
      <alignment horizontal="center" vertical="center" wrapText="1"/>
    </xf>
    <xf numFmtId="178" fontId="11" fillId="0" borderId="38" xfId="4" applyNumberFormat="1" applyFont="1" applyBorder="1" applyAlignment="1">
      <alignment horizontal="center" vertical="center" wrapText="1"/>
    </xf>
    <xf numFmtId="178" fontId="11" fillId="0" borderId="37" xfId="4" applyNumberFormat="1" applyFont="1" applyBorder="1" applyAlignment="1">
      <alignment horizontal="center" vertical="center" wrapText="1"/>
    </xf>
    <xf numFmtId="178" fontId="34" fillId="0" borderId="28" xfId="4" applyNumberFormat="1" applyFont="1" applyBorder="1" applyAlignment="1">
      <alignment horizontal="center" vertical="center" wrapText="1"/>
    </xf>
    <xf numFmtId="0" fontId="5" fillId="0" borderId="35" xfId="4" applyBorder="1"/>
    <xf numFmtId="0" fontId="5" fillId="0" borderId="29" xfId="4" applyBorder="1" applyAlignment="1">
      <alignment horizontal="left" vertical="top"/>
    </xf>
    <xf numFmtId="0" fontId="7" fillId="0" borderId="0" xfId="4" applyFont="1" applyAlignment="1">
      <alignment horizontal="center"/>
    </xf>
    <xf numFmtId="0" fontId="6" fillId="0" borderId="7" xfId="4" applyFont="1" applyBorder="1" applyAlignment="1">
      <alignment horizontal="left" vertical="center"/>
    </xf>
    <xf numFmtId="0" fontId="5" fillId="5" borderId="38" xfId="4" applyFill="1" applyBorder="1" applyAlignment="1">
      <alignment vertical="center"/>
    </xf>
    <xf numFmtId="0" fontId="5" fillId="10" borderId="28" xfId="4" applyFill="1" applyBorder="1" applyAlignment="1">
      <alignment vertical="center"/>
    </xf>
    <xf numFmtId="0" fontId="5" fillId="10" borderId="0" xfId="4" applyFill="1" applyAlignment="1">
      <alignment vertical="center"/>
    </xf>
    <xf numFmtId="178" fontId="5" fillId="5" borderId="39" xfId="4" applyNumberFormat="1" applyFill="1" applyBorder="1" applyAlignment="1">
      <alignment horizontal="center" vertical="center" wrapText="1"/>
    </xf>
    <xf numFmtId="0" fontId="5" fillId="5" borderId="39" xfId="4" applyFill="1" applyBorder="1" applyAlignment="1">
      <alignment vertical="center"/>
    </xf>
    <xf numFmtId="0" fontId="5" fillId="5" borderId="37" xfId="4" applyFill="1" applyBorder="1" applyAlignment="1">
      <alignment horizontal="center" vertical="center"/>
    </xf>
    <xf numFmtId="0" fontId="5" fillId="5" borderId="19" xfId="4" applyFill="1" applyBorder="1" applyAlignment="1">
      <alignment vertical="center"/>
    </xf>
    <xf numFmtId="1" fontId="5" fillId="0" borderId="28" xfId="4" applyNumberFormat="1" applyBorder="1" applyAlignment="1">
      <alignment horizontal="left" vertical="center" wrapText="1"/>
    </xf>
    <xf numFmtId="0" fontId="5" fillId="5" borderId="8" xfId="4" applyFill="1" applyBorder="1" applyAlignment="1">
      <alignment horizontal="left" vertical="center" wrapText="1"/>
    </xf>
    <xf numFmtId="0" fontId="5" fillId="9" borderId="29" xfId="4" applyFill="1" applyBorder="1" applyAlignment="1">
      <alignment horizontal="center" vertical="center"/>
    </xf>
    <xf numFmtId="0" fontId="5" fillId="9" borderId="0" xfId="4" applyFill="1" applyAlignment="1">
      <alignment vertical="center"/>
    </xf>
    <xf numFmtId="0" fontId="5" fillId="9" borderId="28" xfId="4" applyFill="1" applyBorder="1" applyAlignment="1">
      <alignment vertical="center"/>
    </xf>
    <xf numFmtId="0" fontId="5" fillId="9" borderId="0" xfId="4" quotePrefix="1" applyFill="1" applyAlignment="1">
      <alignment vertical="center"/>
    </xf>
    <xf numFmtId="0" fontId="7" fillId="2" borderId="0" xfId="4" applyFont="1" applyFill="1"/>
    <xf numFmtId="0" fontId="21" fillId="2" borderId="0" xfId="4" applyFont="1" applyFill="1" applyAlignment="1">
      <alignment horizontal="left" vertical="center"/>
    </xf>
    <xf numFmtId="0" fontId="6" fillId="2" borderId="0" xfId="4" applyFont="1" applyFill="1"/>
    <xf numFmtId="0" fontId="21" fillId="2" borderId="0" xfId="4" applyFont="1" applyFill="1" applyAlignment="1">
      <alignment horizontal="left"/>
    </xf>
    <xf numFmtId="0" fontId="19" fillId="2" borderId="0" xfId="4" applyFont="1" applyFill="1" applyAlignment="1">
      <alignment horizontal="left"/>
    </xf>
    <xf numFmtId="178" fontId="20" fillId="0" borderId="28" xfId="4" applyNumberFormat="1" applyFont="1" applyBorder="1" applyAlignment="1">
      <alignment horizontal="center" vertical="center" wrapText="1"/>
    </xf>
    <xf numFmtId="164" fontId="0" fillId="0" borderId="0" xfId="1" applyNumberFormat="1" applyFont="1" applyFill="1" applyAlignment="1">
      <alignment horizontal="center"/>
    </xf>
    <xf numFmtId="180" fontId="4" fillId="0" borderId="1" xfId="1" applyNumberFormat="1" applyFont="1" applyFill="1" applyBorder="1" applyAlignment="1">
      <alignment horizontal="right" vertical="center" wrapText="1"/>
    </xf>
    <xf numFmtId="181" fontId="4" fillId="0" borderId="1" xfId="1" applyNumberFormat="1" applyFont="1" applyFill="1" applyBorder="1" applyAlignment="1">
      <alignment horizontal="right" vertical="center" wrapText="1"/>
    </xf>
    <xf numFmtId="184" fontId="4" fillId="0" borderId="1" xfId="1" applyNumberFormat="1" applyFont="1" applyFill="1" applyBorder="1" applyAlignment="1">
      <alignment horizontal="right" vertical="center" wrapText="1"/>
    </xf>
    <xf numFmtId="0" fontId="0" fillId="11" borderId="0" xfId="0" applyFill="1"/>
    <xf numFmtId="164" fontId="4" fillId="0" borderId="3" xfId="1" applyNumberFormat="1" applyFont="1" applyFill="1" applyBorder="1" applyAlignment="1">
      <alignment vertical="center" wrapText="1"/>
    </xf>
    <xf numFmtId="0" fontId="12" fillId="0" borderId="1" xfId="1" applyNumberFormat="1" applyFont="1" applyFill="1" applyBorder="1" applyAlignment="1">
      <alignment horizontal="center" vertical="center" wrapText="1"/>
    </xf>
    <xf numFmtId="0" fontId="21" fillId="2" borderId="9" xfId="0" applyFont="1" applyFill="1" applyBorder="1" applyAlignment="1">
      <alignment horizontal="left" vertical="center"/>
    </xf>
    <xf numFmtId="0" fontId="21" fillId="2" borderId="0" xfId="0" applyFont="1" applyFill="1" applyAlignment="1">
      <alignment horizontal="left" vertical="center"/>
    </xf>
    <xf numFmtId="0" fontId="21" fillId="2" borderId="7" xfId="0" applyFont="1" applyFill="1" applyBorder="1" applyAlignment="1">
      <alignment horizontal="left" vertical="center"/>
    </xf>
    <xf numFmtId="0" fontId="21" fillId="2" borderId="7" xfId="0" applyFont="1" applyFill="1" applyBorder="1" applyAlignment="1">
      <alignment vertical="center"/>
    </xf>
    <xf numFmtId="0" fontId="5" fillId="0" borderId="1" xfId="4" applyBorder="1" applyAlignment="1">
      <alignment horizontal="left" vertical="top" wrapText="1"/>
    </xf>
    <xf numFmtId="0" fontId="5" fillId="9" borderId="1" xfId="4" applyFill="1" applyBorder="1" applyAlignment="1">
      <alignment horizontal="left" vertical="top" wrapText="1"/>
    </xf>
    <xf numFmtId="0" fontId="24" fillId="0" borderId="32" xfId="4" applyFont="1" applyBorder="1" applyAlignment="1">
      <alignment horizontal="center" vertical="center" wrapText="1"/>
    </xf>
    <xf numFmtId="0" fontId="24" fillId="0" borderId="30" xfId="4" applyFont="1" applyBorder="1" applyAlignment="1">
      <alignment horizontal="center" vertical="center" wrapText="1"/>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xf>
    <xf numFmtId="0" fontId="3" fillId="0" borderId="1" xfId="1" applyNumberFormat="1" applyFont="1" applyFill="1" applyBorder="1" applyAlignment="1">
      <alignment horizontal="center" vertical="center" wrapText="1"/>
    </xf>
    <xf numFmtId="49" fontId="4" fillId="0" borderId="62" xfId="1" applyNumberFormat="1" applyFont="1" applyFill="1" applyBorder="1" applyAlignment="1">
      <alignment vertical="top" wrapText="1"/>
    </xf>
    <xf numFmtId="49" fontId="38" fillId="0" borderId="62" xfId="1" applyNumberFormat="1" applyFont="1" applyFill="1" applyBorder="1" applyAlignment="1">
      <alignment vertical="top" wrapText="1"/>
    </xf>
    <xf numFmtId="49" fontId="39" fillId="0" borderId="62" xfId="1" applyNumberFormat="1" applyFont="1" applyFill="1" applyBorder="1" applyAlignment="1">
      <alignment vertical="top" wrapText="1"/>
    </xf>
    <xf numFmtId="164" fontId="4" fillId="0" borderId="3" xfId="1" applyNumberFormat="1" applyFont="1" applyFill="1" applyBorder="1" applyAlignment="1">
      <alignment horizontal="center" vertical="center" wrapText="1"/>
    </xf>
    <xf numFmtId="49" fontId="4" fillId="0" borderId="62" xfId="1" applyNumberFormat="1" applyFont="1" applyFill="1" applyBorder="1" applyAlignment="1">
      <alignment vertical="center"/>
    </xf>
    <xf numFmtId="49" fontId="38" fillId="0" borderId="64" xfId="1" applyNumberFormat="1" applyFont="1" applyFill="1" applyBorder="1" applyAlignment="1">
      <alignment vertical="top" wrapText="1"/>
    </xf>
    <xf numFmtId="0" fontId="36" fillId="5" borderId="0" xfId="0" applyFont="1" applyFill="1"/>
    <xf numFmtId="0" fontId="42" fillId="0" borderId="0" xfId="0" applyFont="1" applyAlignment="1">
      <alignment horizontal="center" vertical="center" wrapText="1"/>
    </xf>
    <xf numFmtId="0" fontId="5" fillId="0" borderId="0" xfId="0" applyFont="1" applyAlignment="1">
      <alignment horizontal="center" vertical="center" wrapText="1"/>
    </xf>
    <xf numFmtId="0" fontId="18" fillId="10" borderId="0" xfId="4" applyFont="1" applyFill="1" applyAlignment="1">
      <alignment vertical="center"/>
    </xf>
    <xf numFmtId="0" fontId="8" fillId="0" borderId="0" xfId="0" applyFont="1"/>
    <xf numFmtId="174" fontId="4" fillId="0" borderId="9" xfId="0" applyNumberFormat="1" applyFont="1" applyBorder="1" applyAlignment="1">
      <alignment horizontal="center"/>
    </xf>
    <xf numFmtId="174" fontId="4" fillId="0" borderId="7" xfId="0" applyNumberFormat="1" applyFont="1" applyBorder="1" applyAlignment="1">
      <alignment horizontal="center"/>
    </xf>
    <xf numFmtId="0" fontId="4" fillId="3" borderId="4" xfId="0" applyFont="1" applyFill="1" applyBorder="1" applyAlignment="1">
      <alignment horizontal="center"/>
    </xf>
    <xf numFmtId="0" fontId="7" fillId="0" borderId="4" xfId="0" applyFont="1" applyBorder="1" applyAlignment="1">
      <alignment horizontal="left"/>
    </xf>
    <xf numFmtId="0" fontId="7" fillId="0" borderId="0" xfId="0" applyFont="1" applyAlignment="1">
      <alignment horizontal="left"/>
    </xf>
    <xf numFmtId="0" fontId="4" fillId="0" borderId="7" xfId="0" applyFont="1" applyBorder="1" applyAlignment="1">
      <alignment horizontal="center"/>
    </xf>
    <xf numFmtId="0" fontId="4" fillId="3" borderId="0" xfId="0" applyFont="1" applyFill="1" applyAlignment="1">
      <alignment horizontal="center"/>
    </xf>
    <xf numFmtId="0" fontId="4" fillId="0" borderId="9" xfId="0" applyFont="1" applyBorder="1" applyAlignment="1">
      <alignment horizontal="center"/>
    </xf>
    <xf numFmtId="170" fontId="4" fillId="4" borderId="0" xfId="0" applyNumberFormat="1" applyFont="1" applyFill="1" applyAlignment="1">
      <alignment horizontal="center"/>
    </xf>
    <xf numFmtId="0" fontId="7" fillId="0" borderId="0" xfId="0" applyFont="1" applyAlignment="1">
      <alignment horizontal="center"/>
    </xf>
    <xf numFmtId="0" fontId="4" fillId="0" borderId="4" xfId="0" applyFont="1" applyBorder="1" applyAlignment="1">
      <alignment horizontal="center"/>
    </xf>
    <xf numFmtId="0" fontId="7" fillId="0" borderId="0" xfId="0" applyFont="1" applyAlignment="1">
      <alignment horizontal="center" vertical="center"/>
    </xf>
    <xf numFmtId="0" fontId="5" fillId="0" borderId="0" xfId="0" applyFont="1" applyAlignment="1">
      <alignment horizontal="left" indent="1"/>
    </xf>
    <xf numFmtId="0" fontId="5" fillId="0" borderId="0" xfId="0" applyFont="1" applyAlignment="1">
      <alignment horizontal="center"/>
    </xf>
    <xf numFmtId="0" fontId="5" fillId="0" borderId="7" xfId="0" applyFont="1" applyBorder="1" applyAlignment="1">
      <alignment horizontal="center"/>
    </xf>
    <xf numFmtId="0" fontId="3" fillId="0" borderId="4" xfId="0" applyFont="1" applyBorder="1" applyAlignment="1">
      <alignment horizontal="left" indent="2"/>
    </xf>
    <xf numFmtId="0" fontId="3" fillId="4" borderId="4" xfId="0" applyFont="1" applyFill="1" applyBorder="1" applyAlignment="1">
      <alignment horizontal="left" indent="2"/>
    </xf>
    <xf numFmtId="0" fontId="4" fillId="4" borderId="4" xfId="0" applyFont="1" applyFill="1" applyBorder="1"/>
    <xf numFmtId="0" fontId="28" fillId="4" borderId="0" xfId="0" applyFont="1" applyFill="1" applyAlignment="1">
      <alignment horizontal="center"/>
    </xf>
    <xf numFmtId="0" fontId="21" fillId="0" borderId="0" xfId="0" applyFont="1"/>
    <xf numFmtId="49" fontId="4" fillId="0" borderId="62" xfId="1" applyNumberFormat="1" applyFont="1" applyFill="1" applyBorder="1" applyAlignment="1">
      <alignment horizontal="center" vertical="center" wrapText="1"/>
    </xf>
    <xf numFmtId="49" fontId="38" fillId="0" borderId="68" xfId="1" applyNumberFormat="1" applyFont="1" applyFill="1" applyBorder="1" applyAlignment="1">
      <alignment vertical="top" wrapText="1"/>
    </xf>
    <xf numFmtId="164" fontId="4" fillId="0" borderId="15" xfId="1" applyNumberFormat="1" applyFont="1" applyFill="1" applyBorder="1" applyAlignment="1">
      <alignment horizontal="center" vertical="center" wrapText="1"/>
    </xf>
    <xf numFmtId="0" fontId="7" fillId="0" borderId="17" xfId="0" applyFont="1" applyBorder="1" applyAlignment="1">
      <alignment horizontal="left" indent="2"/>
    </xf>
    <xf numFmtId="0" fontId="1" fillId="3" borderId="0" xfId="0" applyFont="1" applyFill="1" applyAlignment="1">
      <alignment horizontal="left" vertical="center"/>
    </xf>
    <xf numFmtId="0" fontId="4" fillId="4" borderId="2" xfId="0" applyFont="1" applyFill="1" applyBorder="1" applyAlignment="1">
      <alignment horizontal="left" vertical="center"/>
    </xf>
    <xf numFmtId="170" fontId="4" fillId="4" borderId="4" xfId="0" applyNumberFormat="1" applyFont="1" applyFill="1" applyBorder="1" applyAlignment="1">
      <alignment horizontal="right" vertical="center"/>
    </xf>
    <xf numFmtId="170" fontId="4" fillId="4" borderId="2" xfId="0" applyNumberFormat="1" applyFont="1" applyFill="1" applyBorder="1" applyAlignment="1">
      <alignment horizontal="right" vertical="center"/>
    </xf>
    <xf numFmtId="0" fontId="0" fillId="0" borderId="4" xfId="0" applyBorder="1" applyAlignment="1">
      <alignment vertical="center"/>
    </xf>
    <xf numFmtId="170" fontId="4" fillId="4" borderId="4" xfId="0" applyNumberFormat="1" applyFont="1" applyFill="1" applyBorder="1" applyAlignment="1">
      <alignment horizontal="center" vertical="center"/>
    </xf>
    <xf numFmtId="170" fontId="4" fillId="4" borderId="10" xfId="0" applyNumberFormat="1" applyFont="1" applyFill="1" applyBorder="1"/>
    <xf numFmtId="170" fontId="4" fillId="4" borderId="9" xfId="0" applyNumberFormat="1" applyFont="1" applyFill="1" applyBorder="1" applyAlignment="1">
      <alignment horizontal="center"/>
    </xf>
    <xf numFmtId="0" fontId="5" fillId="10" borderId="0" xfId="0" applyFont="1" applyFill="1" applyAlignment="1">
      <alignment horizontal="center"/>
    </xf>
    <xf numFmtId="0" fontId="5" fillId="10" borderId="7" xfId="0" applyFont="1" applyFill="1" applyBorder="1" applyAlignment="1">
      <alignment horizontal="center"/>
    </xf>
    <xf numFmtId="0" fontId="19" fillId="0" borderId="0" xfId="0" applyFont="1"/>
    <xf numFmtId="0" fontId="30" fillId="0" borderId="0" xfId="0" applyFont="1"/>
    <xf numFmtId="0" fontId="4" fillId="0" borderId="4" xfId="0" applyFont="1" applyBorder="1"/>
    <xf numFmtId="0" fontId="28" fillId="0" borderId="9" xfId="0" applyFont="1" applyBorder="1" applyAlignment="1">
      <alignment horizontal="center"/>
    </xf>
    <xf numFmtId="0" fontId="4" fillId="0" borderId="9" xfId="0" applyFont="1" applyBorder="1"/>
    <xf numFmtId="0" fontId="5" fillId="0" borderId="7" xfId="0" applyFont="1" applyBorder="1"/>
    <xf numFmtId="49" fontId="4" fillId="0" borderId="67" xfId="1" applyNumberFormat="1" applyFont="1" applyFill="1" applyBorder="1" applyAlignment="1">
      <alignment horizontal="center" vertical="center" wrapText="1"/>
    </xf>
    <xf numFmtId="49" fontId="4" fillId="0" borderId="64" xfId="1" applyNumberFormat="1" applyFont="1" applyFill="1" applyBorder="1" applyAlignment="1">
      <alignment horizontal="center" vertical="center" wrapText="1"/>
    </xf>
    <xf numFmtId="186" fontId="4" fillId="0" borderId="1" xfId="1" applyNumberFormat="1" applyFont="1" applyFill="1" applyBorder="1" applyAlignment="1">
      <alignment horizontal="right" vertical="center" wrapText="1"/>
    </xf>
    <xf numFmtId="170" fontId="5" fillId="4" borderId="0" xfId="0" applyNumberFormat="1" applyFont="1" applyFill="1"/>
    <xf numFmtId="170" fontId="5" fillId="4" borderId="17" xfId="0" applyNumberFormat="1" applyFont="1" applyFill="1" applyBorder="1"/>
    <xf numFmtId="0" fontId="4" fillId="4" borderId="10" xfId="0" applyFont="1" applyFill="1" applyBorder="1" applyAlignment="1">
      <alignment horizontal="right" indent="1"/>
    </xf>
    <xf numFmtId="174" fontId="4" fillId="4" borderId="0" xfId="0" applyNumberFormat="1" applyFont="1" applyFill="1"/>
    <xf numFmtId="174" fontId="4" fillId="4" borderId="10" xfId="0" applyNumberFormat="1" applyFont="1" applyFill="1" applyBorder="1"/>
    <xf numFmtId="0" fontId="4" fillId="0" borderId="17" xfId="0" applyFont="1" applyBorder="1" applyAlignment="1">
      <alignment horizontal="left" indent="1"/>
    </xf>
    <xf numFmtId="0" fontId="0" fillId="2" borderId="4" xfId="0" applyFill="1" applyBorder="1" applyAlignment="1">
      <alignment horizontal="center" vertical="center"/>
    </xf>
    <xf numFmtId="0" fontId="0" fillId="0" borderId="1" xfId="0" applyBorder="1"/>
    <xf numFmtId="164" fontId="4" fillId="2" borderId="1" xfId="1" applyNumberFormat="1" applyFont="1" applyFill="1" applyBorder="1" applyAlignment="1">
      <alignment horizontal="center" vertical="center"/>
    </xf>
    <xf numFmtId="164" fontId="4" fillId="2" borderId="8" xfId="1" applyNumberFormat="1" applyFont="1" applyFill="1" applyBorder="1" applyAlignment="1">
      <alignment horizontal="center" vertical="center" wrapText="1"/>
    </xf>
    <xf numFmtId="0" fontId="17" fillId="10" borderId="0" xfId="0" applyFont="1" applyFill="1" applyAlignment="1">
      <alignment horizontal="left" indent="1"/>
    </xf>
    <xf numFmtId="0" fontId="6" fillId="4" borderId="4" xfId="0" applyFont="1" applyFill="1" applyBorder="1" applyAlignment="1">
      <alignment horizontal="center" vertical="center" wrapText="1"/>
    </xf>
    <xf numFmtId="0" fontId="5" fillId="0" borderId="0" xfId="0" applyFont="1" applyAlignment="1">
      <alignment vertical="center"/>
    </xf>
    <xf numFmtId="0" fontId="6" fillId="3" borderId="43" xfId="0" applyFont="1" applyFill="1" applyBorder="1" applyAlignment="1">
      <alignment horizontal="center" vertical="center"/>
    </xf>
    <xf numFmtId="0" fontId="6" fillId="3" borderId="25" xfId="0" applyFont="1" applyFill="1" applyBorder="1" applyAlignment="1">
      <alignment horizontal="center" vertical="center"/>
    </xf>
    <xf numFmtId="0" fontId="11" fillId="2" borderId="29" xfId="0" applyFont="1" applyFill="1" applyBorder="1" applyAlignment="1">
      <alignment horizontal="right"/>
    </xf>
    <xf numFmtId="0" fontId="4" fillId="0" borderId="0" xfId="0" applyFont="1" applyAlignment="1">
      <alignment vertical="center"/>
    </xf>
    <xf numFmtId="174" fontId="4" fillId="4" borderId="16" xfId="0" applyNumberFormat="1" applyFont="1" applyFill="1" applyBorder="1"/>
    <xf numFmtId="174" fontId="4" fillId="4" borderId="17" xfId="0" applyNumberFormat="1" applyFont="1" applyFill="1" applyBorder="1"/>
    <xf numFmtId="174" fontId="4" fillId="4" borderId="7" xfId="0" applyNumberFormat="1" applyFont="1" applyFill="1" applyBorder="1"/>
    <xf numFmtId="174" fontId="4" fillId="4" borderId="6" xfId="0" applyNumberFormat="1" applyFont="1" applyFill="1" applyBorder="1"/>
    <xf numFmtId="0" fontId="6" fillId="3" borderId="4" xfId="0" applyFont="1" applyFill="1" applyBorder="1" applyAlignment="1">
      <alignment horizontal="center" vertical="center"/>
    </xf>
    <xf numFmtId="0" fontId="11" fillId="3" borderId="0" xfId="0" applyFont="1" applyFill="1"/>
    <xf numFmtId="0" fontId="11" fillId="3" borderId="7" xfId="0" applyFont="1" applyFill="1" applyBorder="1"/>
    <xf numFmtId="0" fontId="0" fillId="0" borderId="69" xfId="0" applyBorder="1"/>
    <xf numFmtId="188" fontId="4" fillId="0" borderId="1" xfId="1" applyNumberFormat="1" applyFont="1" applyFill="1" applyBorder="1" applyAlignment="1">
      <alignment horizontal="right" vertical="center" wrapText="1"/>
    </xf>
    <xf numFmtId="170" fontId="4" fillId="4" borderId="0" xfId="0" applyNumberFormat="1" applyFont="1" applyFill="1" applyAlignment="1">
      <alignment horizontal="right" vertical="center"/>
    </xf>
    <xf numFmtId="186" fontId="4" fillId="0" borderId="8" xfId="1" applyNumberFormat="1" applyFont="1" applyFill="1" applyBorder="1" applyAlignment="1">
      <alignment horizontal="right" vertical="center" wrapText="1"/>
    </xf>
    <xf numFmtId="171" fontId="5" fillId="0" borderId="14" xfId="1" applyNumberFormat="1" applyFont="1" applyFill="1" applyBorder="1" applyAlignment="1">
      <alignment horizontal="right" vertical="center" wrapText="1"/>
    </xf>
    <xf numFmtId="171" fontId="5" fillId="0" borderId="8" xfId="1" applyNumberFormat="1" applyFont="1" applyFill="1" applyBorder="1" applyAlignment="1">
      <alignment horizontal="right" vertical="center" wrapText="1"/>
    </xf>
    <xf numFmtId="164" fontId="4" fillId="4" borderId="71" xfId="1" applyNumberFormat="1" applyFont="1" applyFill="1" applyBorder="1" applyAlignment="1">
      <alignment horizontal="center" vertical="center" wrapText="1"/>
    </xf>
    <xf numFmtId="164" fontId="0" fillId="0" borderId="19" xfId="1" applyNumberFormat="1" applyFont="1" applyFill="1" applyBorder="1"/>
    <xf numFmtId="0" fontId="4" fillId="5" borderId="72" xfId="1" applyNumberFormat="1" applyFont="1" applyFill="1" applyBorder="1" applyAlignment="1">
      <alignment vertical="top" wrapText="1"/>
    </xf>
    <xf numFmtId="0" fontId="3" fillId="0" borderId="73" xfId="1" applyNumberFormat="1" applyFont="1" applyFill="1" applyBorder="1" applyAlignment="1">
      <alignment horizontal="center" vertical="center" wrapText="1"/>
    </xf>
    <xf numFmtId="0" fontId="3" fillId="2" borderId="11" xfId="1" applyNumberFormat="1" applyFont="1" applyFill="1" applyBorder="1" applyAlignment="1">
      <alignment horizontal="right" vertical="center" wrapText="1"/>
    </xf>
    <xf numFmtId="164" fontId="4" fillId="0" borderId="74" xfId="1" applyNumberFormat="1" applyFont="1" applyFill="1" applyBorder="1"/>
    <xf numFmtId="49" fontId="38" fillId="0" borderId="79" xfId="1" applyNumberFormat="1" applyFont="1" applyFill="1" applyBorder="1" applyAlignment="1">
      <alignment horizontal="left" vertical="top" wrapText="1"/>
    </xf>
    <xf numFmtId="164" fontId="4" fillId="0" borderId="0" xfId="1" applyNumberFormat="1" applyFont="1" applyFill="1" applyBorder="1" applyAlignment="1">
      <alignment horizontal="center" vertical="center"/>
    </xf>
    <xf numFmtId="0" fontId="4" fillId="0" borderId="0" xfId="1" applyNumberFormat="1" applyFont="1" applyFill="1" applyBorder="1"/>
    <xf numFmtId="0" fontId="4" fillId="0" borderId="8" xfId="1" applyNumberFormat="1" applyFont="1" applyFill="1" applyBorder="1" applyAlignment="1">
      <alignment horizontal="center" vertical="center" wrapText="1"/>
    </xf>
    <xf numFmtId="0" fontId="1" fillId="3" borderId="26" xfId="0" applyFont="1" applyFill="1" applyBorder="1" applyAlignment="1">
      <alignment horizontal="left" vertical="center"/>
    </xf>
    <xf numFmtId="164" fontId="1" fillId="4" borderId="19" xfId="1" applyNumberFormat="1" applyFont="1" applyFill="1" applyBorder="1" applyAlignment="1">
      <alignment vertical="center"/>
    </xf>
    <xf numFmtId="0" fontId="1" fillId="4" borderId="19" xfId="0" applyFont="1" applyFill="1" applyBorder="1" applyAlignment="1">
      <alignment vertical="center"/>
    </xf>
    <xf numFmtId="0" fontId="4" fillId="0" borderId="16" xfId="0" applyFont="1" applyBorder="1" applyAlignment="1">
      <alignment horizontal="left" indent="2"/>
    </xf>
    <xf numFmtId="164" fontId="5" fillId="5" borderId="1" xfId="1" applyNumberFormat="1" applyFont="1" applyFill="1" applyBorder="1" applyAlignment="1">
      <alignment horizontal="center" vertical="center" wrapText="1"/>
    </xf>
    <xf numFmtId="0" fontId="5" fillId="0" borderId="17" xfId="0" applyFont="1" applyBorder="1" applyAlignment="1">
      <alignment horizontal="left" indent="2"/>
    </xf>
    <xf numFmtId="170" fontId="4" fillId="4" borderId="19" xfId="0" applyNumberFormat="1" applyFont="1" applyFill="1" applyBorder="1"/>
    <xf numFmtId="170" fontId="4" fillId="4" borderId="71" xfId="0" applyNumberFormat="1" applyFont="1" applyFill="1" applyBorder="1"/>
    <xf numFmtId="0" fontId="4" fillId="0" borderId="19" xfId="0" applyFont="1" applyBorder="1"/>
    <xf numFmtId="170" fontId="4" fillId="4" borderId="19" xfId="0" applyNumberFormat="1" applyFont="1" applyFill="1" applyBorder="1" applyAlignment="1">
      <alignment horizontal="center"/>
    </xf>
    <xf numFmtId="0" fontId="4" fillId="0" borderId="71" xfId="0" applyFont="1" applyBorder="1" applyAlignment="1">
      <alignment horizontal="right"/>
    </xf>
    <xf numFmtId="170" fontId="4" fillId="0" borderId="0" xfId="0" applyNumberFormat="1" applyFont="1" applyAlignment="1">
      <alignment horizontal="center"/>
    </xf>
    <xf numFmtId="0" fontId="4" fillId="0" borderId="0" xfId="0" applyFont="1" applyAlignment="1">
      <alignment horizontal="right"/>
    </xf>
    <xf numFmtId="170" fontId="4" fillId="0" borderId="0" xfId="0" applyNumberFormat="1" applyFont="1" applyAlignment="1">
      <alignment horizontal="right"/>
    </xf>
    <xf numFmtId="170" fontId="4" fillId="0" borderId="0" xfId="0" applyNumberFormat="1" applyFont="1"/>
    <xf numFmtId="0" fontId="4" fillId="0" borderId="17" xfId="0" applyFont="1" applyBorder="1" applyAlignment="1">
      <alignment horizontal="right"/>
    </xf>
    <xf numFmtId="0" fontId="5" fillId="5" borderId="0" xfId="0" applyFont="1" applyFill="1" applyAlignment="1">
      <alignment horizontal="right"/>
    </xf>
    <xf numFmtId="170" fontId="4" fillId="5" borderId="0" xfId="0" applyNumberFormat="1" applyFont="1" applyFill="1" applyAlignment="1">
      <alignment horizontal="right"/>
    </xf>
    <xf numFmtId="0" fontId="5" fillId="0" borderId="17" xfId="0" applyFont="1" applyBorder="1" applyAlignment="1">
      <alignment horizontal="left" indent="1"/>
    </xf>
    <xf numFmtId="0" fontId="7" fillId="0" borderId="17" xfId="0" applyFont="1" applyBorder="1" applyAlignment="1">
      <alignment horizontal="left" indent="1"/>
    </xf>
    <xf numFmtId="0" fontId="5" fillId="0" borderId="41" xfId="0" applyFont="1" applyBorder="1" applyAlignment="1">
      <alignment horizontal="left" indent="1"/>
    </xf>
    <xf numFmtId="0" fontId="5" fillId="0" borderId="40" xfId="0" applyFont="1" applyBorder="1" applyAlignment="1">
      <alignment horizontal="left" indent="1"/>
    </xf>
    <xf numFmtId="0" fontId="5" fillId="0" borderId="42" xfId="0" applyFont="1" applyBorder="1" applyAlignment="1">
      <alignment horizontal="left" indent="1"/>
    </xf>
    <xf numFmtId="0" fontId="0" fillId="0" borderId="19" xfId="0" applyBorder="1"/>
    <xf numFmtId="170" fontId="4" fillId="0" borderId="7" xfId="0" applyNumberFormat="1" applyFont="1" applyBorder="1" applyAlignment="1">
      <alignment horizontal="right"/>
    </xf>
    <xf numFmtId="170" fontId="4" fillId="0" borderId="7" xfId="0" applyNumberFormat="1" applyFont="1" applyBorder="1" applyAlignment="1">
      <alignment horizontal="center"/>
    </xf>
    <xf numFmtId="0" fontId="7" fillId="0" borderId="0" xfId="0" applyFont="1" applyAlignment="1">
      <alignment vertical="center"/>
    </xf>
    <xf numFmtId="0" fontId="4" fillId="2" borderId="6" xfId="0" applyFont="1" applyFill="1" applyBorder="1" applyAlignment="1">
      <alignment horizontal="right"/>
    </xf>
    <xf numFmtId="0" fontId="4" fillId="2" borderId="10" xfId="0" applyFont="1" applyFill="1" applyBorder="1" applyAlignment="1">
      <alignment horizontal="right"/>
    </xf>
    <xf numFmtId="0" fontId="7" fillId="0" borderId="10" xfId="0" applyFont="1" applyBorder="1" applyAlignment="1">
      <alignment horizontal="left" indent="1"/>
    </xf>
    <xf numFmtId="49" fontId="5" fillId="0" borderId="8" xfId="1" applyNumberFormat="1" applyFont="1" applyFill="1" applyBorder="1" applyAlignment="1">
      <alignment vertical="center" wrapText="1"/>
    </xf>
    <xf numFmtId="49" fontId="5" fillId="0" borderId="1" xfId="1" applyNumberFormat="1" applyFont="1" applyFill="1" applyBorder="1" applyAlignment="1">
      <alignment vertical="center" wrapText="1"/>
    </xf>
    <xf numFmtId="164" fontId="18" fillId="0" borderId="0" xfId="1" applyNumberFormat="1" applyFont="1" applyFill="1" applyAlignment="1">
      <alignment horizontal="center" vertical="center"/>
    </xf>
    <xf numFmtId="0" fontId="5" fillId="0" borderId="8" xfId="1" applyNumberFormat="1" applyFont="1" applyFill="1" applyBorder="1" applyAlignment="1">
      <alignment horizontal="left" vertical="center" wrapText="1"/>
    </xf>
    <xf numFmtId="49" fontId="4" fillId="0" borderId="68" xfId="1" applyNumberFormat="1" applyFont="1" applyFill="1" applyBorder="1" applyAlignment="1">
      <alignment vertical="top" wrapText="1"/>
    </xf>
    <xf numFmtId="0" fontId="4" fillId="0" borderId="19" xfId="0" applyFont="1" applyBorder="1" applyAlignment="1">
      <alignment horizontal="center" vertical="center"/>
    </xf>
    <xf numFmtId="164" fontId="4" fillId="2" borderId="5" xfId="1" applyNumberFormat="1" applyFont="1" applyFill="1" applyBorder="1" applyAlignment="1">
      <alignment horizontal="center" vertical="center"/>
    </xf>
    <xf numFmtId="0" fontId="4" fillId="2" borderId="80" xfId="0" applyFont="1" applyFill="1" applyBorder="1" applyAlignment="1">
      <alignment vertical="center"/>
    </xf>
    <xf numFmtId="0" fontId="1" fillId="4" borderId="19" xfId="0" applyFont="1" applyFill="1" applyBorder="1" applyAlignment="1">
      <alignment horizontal="right" vertical="center"/>
    </xf>
    <xf numFmtId="0" fontId="0" fillId="4" borderId="19" xfId="0" applyFill="1" applyBorder="1" applyAlignment="1">
      <alignment horizontal="right" vertical="center"/>
    </xf>
    <xf numFmtId="0" fontId="4" fillId="0" borderId="10" xfId="0" applyFont="1" applyBorder="1" applyAlignment="1">
      <alignment horizontal="right"/>
    </xf>
    <xf numFmtId="0" fontId="5" fillId="0" borderId="16" xfId="0" applyFont="1" applyBorder="1" applyAlignment="1">
      <alignment horizontal="right"/>
    </xf>
    <xf numFmtId="0" fontId="5" fillId="0" borderId="17" xfId="0" applyFont="1" applyBorder="1" applyAlignment="1">
      <alignment horizontal="right"/>
    </xf>
    <xf numFmtId="170" fontId="4" fillId="4" borderId="17" xfId="0" applyNumberFormat="1" applyFont="1" applyFill="1" applyBorder="1" applyAlignment="1">
      <alignment vertical="center"/>
    </xf>
    <xf numFmtId="170" fontId="4" fillId="4" borderId="15" xfId="0" applyNumberFormat="1" applyFont="1" applyFill="1" applyBorder="1"/>
    <xf numFmtId="0" fontId="7" fillId="0" borderId="17" xfId="0" applyFont="1" applyBorder="1" applyAlignment="1">
      <alignment horizontal="left" vertical="center" wrapText="1" indent="2"/>
    </xf>
    <xf numFmtId="170" fontId="5" fillId="0" borderId="0" xfId="0" applyNumberFormat="1" applyFont="1" applyAlignment="1">
      <alignment horizontal="right"/>
    </xf>
    <xf numFmtId="170" fontId="5" fillId="0" borderId="17" xfId="0" applyNumberFormat="1" applyFont="1" applyBorder="1" applyAlignment="1">
      <alignment horizontal="right"/>
    </xf>
    <xf numFmtId="0" fontId="5" fillId="0" borderId="0" xfId="0" applyFont="1" applyAlignment="1">
      <alignment horizontal="right"/>
    </xf>
    <xf numFmtId="170" fontId="4" fillId="0" borderId="17" xfId="0" applyNumberFormat="1" applyFont="1" applyBorder="1" applyAlignment="1">
      <alignment horizontal="right"/>
    </xf>
    <xf numFmtId="170" fontId="4" fillId="0" borderId="9" xfId="0" applyNumberFormat="1" applyFont="1" applyBorder="1" applyAlignment="1">
      <alignment horizontal="right"/>
    </xf>
    <xf numFmtId="170" fontId="4" fillId="0" borderId="16" xfId="0" applyNumberFormat="1" applyFont="1" applyBorder="1" applyAlignment="1">
      <alignment horizontal="right"/>
    </xf>
    <xf numFmtId="0" fontId="4" fillId="0" borderId="9" xfId="0" applyFont="1" applyBorder="1" applyAlignment="1">
      <alignment horizontal="right"/>
    </xf>
    <xf numFmtId="170" fontId="4" fillId="4" borderId="18" xfId="0" applyNumberFormat="1" applyFont="1" applyFill="1" applyBorder="1" applyAlignment="1">
      <alignment vertical="center"/>
    </xf>
    <xf numFmtId="170" fontId="4" fillId="0" borderId="10" xfId="0" applyNumberFormat="1" applyFont="1" applyBorder="1" applyAlignment="1">
      <alignment horizontal="right"/>
    </xf>
    <xf numFmtId="0" fontId="4" fillId="0" borderId="16" xfId="0" applyFont="1" applyBorder="1" applyAlignment="1">
      <alignment horizontal="left" indent="1"/>
    </xf>
    <xf numFmtId="0" fontId="4" fillId="0" borderId="10" xfId="0" applyFont="1" applyBorder="1" applyAlignment="1">
      <alignment horizontal="left" indent="2"/>
    </xf>
    <xf numFmtId="170" fontId="4" fillId="0" borderId="15" xfId="0" applyNumberFormat="1" applyFont="1" applyBorder="1" applyAlignment="1">
      <alignment horizontal="right"/>
    </xf>
    <xf numFmtId="170" fontId="5" fillId="0" borderId="18" xfId="0" applyNumberFormat="1" applyFont="1" applyBorder="1" applyAlignment="1">
      <alignment horizontal="right"/>
    </xf>
    <xf numFmtId="170" fontId="4" fillId="0" borderId="18" xfId="0" applyNumberFormat="1" applyFont="1" applyBorder="1" applyAlignment="1">
      <alignment horizontal="right"/>
    </xf>
    <xf numFmtId="170" fontId="4" fillId="0" borderId="19" xfId="0" applyNumberFormat="1" applyFont="1" applyBorder="1" applyAlignment="1">
      <alignment horizontal="right"/>
    </xf>
    <xf numFmtId="170" fontId="4" fillId="0" borderId="71" xfId="0" applyNumberFormat="1" applyFont="1" applyBorder="1" applyAlignment="1">
      <alignment horizontal="right"/>
    </xf>
    <xf numFmtId="0" fontId="11" fillId="0" borderId="7" xfId="0" applyFont="1" applyBorder="1" applyAlignment="1">
      <alignment horizontal="left"/>
    </xf>
    <xf numFmtId="170" fontId="4" fillId="4" borderId="6" xfId="0" applyNumberFormat="1" applyFont="1" applyFill="1" applyBorder="1" applyAlignment="1">
      <alignment horizontal="right"/>
    </xf>
    <xf numFmtId="170" fontId="4" fillId="0" borderId="4" xfId="0" applyNumberFormat="1" applyFont="1" applyBorder="1" applyAlignment="1">
      <alignment horizontal="right"/>
    </xf>
    <xf numFmtId="170" fontId="4" fillId="0" borderId="2" xfId="0" applyNumberFormat="1" applyFont="1" applyBorder="1" applyAlignment="1">
      <alignment horizontal="right"/>
    </xf>
    <xf numFmtId="170" fontId="4" fillId="4" borderId="3" xfId="0" applyNumberFormat="1" applyFont="1" applyFill="1" applyBorder="1"/>
    <xf numFmtId="170" fontId="4" fillId="4" borderId="2" xfId="0" applyNumberFormat="1" applyFont="1" applyFill="1" applyBorder="1"/>
    <xf numFmtId="0" fontId="4" fillId="0" borderId="3" xfId="0" applyFont="1" applyBorder="1" applyAlignment="1">
      <alignment horizontal="right"/>
    </xf>
    <xf numFmtId="0" fontId="19" fillId="0" borderId="7" xfId="0" applyFont="1" applyBorder="1" applyAlignment="1">
      <alignment horizontal="left"/>
    </xf>
    <xf numFmtId="0" fontId="7" fillId="0" borderId="0" xfId="0" applyFont="1" applyAlignment="1">
      <alignment vertical="top" wrapText="1"/>
    </xf>
    <xf numFmtId="6" fontId="5" fillId="2" borderId="4" xfId="0" applyNumberFormat="1" applyFont="1" applyFill="1" applyBorder="1" applyAlignment="1">
      <alignment horizontal="right" vertical="center"/>
    </xf>
    <xf numFmtId="3" fontId="5" fillId="2" borderId="0" xfId="0" applyNumberFormat="1" applyFont="1" applyFill="1" applyAlignment="1">
      <alignment horizontal="right" vertical="top"/>
    </xf>
    <xf numFmtId="3" fontId="5" fillId="2" borderId="7" xfId="0" applyNumberFormat="1" applyFont="1" applyFill="1" applyBorder="1" applyAlignment="1">
      <alignment horizontal="right" vertical="top"/>
    </xf>
    <xf numFmtId="0" fontId="4" fillId="2" borderId="7" xfId="0" applyFont="1" applyFill="1" applyBorder="1" applyAlignment="1">
      <alignment horizontal="left" vertical="center" wrapText="1" indent="2"/>
    </xf>
    <xf numFmtId="0" fontId="11" fillId="4" borderId="26" xfId="0" applyFont="1" applyFill="1" applyBorder="1" applyAlignment="1">
      <alignment horizontal="left" vertical="center" wrapText="1"/>
    </xf>
    <xf numFmtId="0" fontId="11" fillId="0" borderId="32" xfId="0" applyFont="1" applyBorder="1" applyAlignment="1">
      <alignment horizontal="left"/>
    </xf>
    <xf numFmtId="170" fontId="5" fillId="4" borderId="28" xfId="0" applyNumberFormat="1" applyFont="1" applyFill="1" applyBorder="1" applyAlignment="1">
      <alignment horizontal="right" vertical="top"/>
    </xf>
    <xf numFmtId="0" fontId="11" fillId="2" borderId="36" xfId="0" applyFont="1" applyFill="1" applyBorder="1" applyAlignment="1">
      <alignment horizontal="right"/>
    </xf>
    <xf numFmtId="170" fontId="5" fillId="6" borderId="32" xfId="0" applyNumberFormat="1" applyFont="1" applyFill="1" applyBorder="1" applyAlignment="1">
      <alignment horizontal="right" vertical="top"/>
    </xf>
    <xf numFmtId="170" fontId="5" fillId="6" borderId="30" xfId="0" applyNumberFormat="1" applyFont="1" applyFill="1" applyBorder="1" applyAlignment="1">
      <alignment horizontal="right" vertical="top"/>
    </xf>
    <xf numFmtId="170" fontId="5" fillId="0" borderId="0" xfId="0" applyNumberFormat="1" applyFont="1" applyAlignment="1">
      <alignment horizontal="right" vertical="top"/>
    </xf>
    <xf numFmtId="0" fontId="43" fillId="0" borderId="0" xfId="0" applyFont="1" applyAlignment="1">
      <alignment horizontal="left"/>
    </xf>
    <xf numFmtId="170" fontId="44" fillId="4" borderId="0" xfId="0" applyNumberFormat="1" applyFont="1" applyFill="1" applyAlignment="1">
      <alignment horizontal="right" vertical="top"/>
    </xf>
    <xf numFmtId="3" fontId="4" fillId="0" borderId="0" xfId="0" applyNumberFormat="1" applyFont="1" applyAlignment="1">
      <alignment horizontal="right" vertical="top"/>
    </xf>
    <xf numFmtId="3" fontId="4" fillId="0" borderId="7" xfId="0" applyNumberFormat="1" applyFont="1" applyBorder="1" applyAlignment="1">
      <alignment horizontal="right" vertical="top"/>
    </xf>
    <xf numFmtId="170" fontId="4" fillId="5" borderId="0" xfId="0" applyNumberFormat="1" applyFont="1" applyFill="1" applyAlignment="1">
      <alignment horizontal="center"/>
    </xf>
    <xf numFmtId="0" fontId="4" fillId="0" borderId="7" xfId="0" applyFont="1" applyBorder="1" applyAlignment="1">
      <alignment horizontal="right"/>
    </xf>
    <xf numFmtId="0" fontId="4" fillId="0" borderId="81" xfId="0" applyFont="1" applyBorder="1" applyAlignment="1">
      <alignment horizontal="right"/>
    </xf>
    <xf numFmtId="0" fontId="0" fillId="0" borderId="28" xfId="0" applyBorder="1"/>
    <xf numFmtId="0" fontId="4" fillId="0" borderId="82" xfId="0" applyFont="1" applyBorder="1" applyAlignment="1">
      <alignment horizontal="right"/>
    </xf>
    <xf numFmtId="0" fontId="4" fillId="0" borderId="36" xfId="0" applyFont="1" applyBorder="1" applyAlignment="1">
      <alignment horizontal="right"/>
    </xf>
    <xf numFmtId="3" fontId="5" fillId="0" borderId="6" xfId="0" applyNumberFormat="1" applyFont="1" applyBorder="1"/>
    <xf numFmtId="0" fontId="0" fillId="0" borderId="45" xfId="0" applyBorder="1"/>
    <xf numFmtId="0" fontId="4" fillId="0" borderId="32" xfId="0" applyFont="1" applyBorder="1"/>
    <xf numFmtId="0" fontId="19" fillId="0" borderId="26" xfId="0" applyFont="1" applyBorder="1" applyAlignment="1">
      <alignment vertical="center" wrapText="1"/>
    </xf>
    <xf numFmtId="0" fontId="0" fillId="0" borderId="43" xfId="0" applyBorder="1"/>
    <xf numFmtId="0" fontId="0" fillId="0" borderId="25" xfId="0" applyBorder="1"/>
    <xf numFmtId="0" fontId="4" fillId="2" borderId="4" xfId="0" applyFont="1" applyFill="1" applyBorder="1" applyAlignment="1">
      <alignment horizontal="left" vertical="center" wrapText="1" indent="1"/>
    </xf>
    <xf numFmtId="0" fontId="4" fillId="2" borderId="4" xfId="0" applyFont="1" applyFill="1" applyBorder="1"/>
    <xf numFmtId="0" fontId="5" fillId="2" borderId="0" xfId="0" applyFont="1" applyFill="1" applyAlignment="1">
      <alignment horizontal="right" vertical="top" wrapText="1"/>
    </xf>
    <xf numFmtId="0" fontId="5" fillId="2" borderId="7" xfId="0" applyFont="1" applyFill="1" applyBorder="1" applyAlignment="1">
      <alignment horizontal="right" vertical="top" wrapText="1"/>
    </xf>
    <xf numFmtId="0" fontId="4" fillId="2" borderId="7" xfId="0" applyFont="1" applyFill="1" applyBorder="1" applyAlignment="1">
      <alignment horizontal="left" vertical="center"/>
    </xf>
    <xf numFmtId="0" fontId="0" fillId="2" borderId="7" xfId="0" applyFill="1" applyBorder="1" applyAlignment="1">
      <alignment vertical="center"/>
    </xf>
    <xf numFmtId="0" fontId="3" fillId="3" borderId="9" xfId="0" applyFont="1" applyFill="1" applyBorder="1" applyAlignment="1">
      <alignment vertical="top"/>
    </xf>
    <xf numFmtId="0" fontId="6" fillId="3" borderId="7" xfId="0" applyFont="1" applyFill="1" applyBorder="1" applyAlignment="1">
      <alignment horizontal="left" vertical="top"/>
    </xf>
    <xf numFmtId="0" fontId="5" fillId="3" borderId="7" xfId="0" applyFont="1" applyFill="1" applyBorder="1" applyAlignment="1">
      <alignment horizontal="right" vertical="top"/>
    </xf>
    <xf numFmtId="0" fontId="5" fillId="3" borderId="7" xfId="0" applyFont="1" applyFill="1" applyBorder="1" applyAlignment="1">
      <alignment horizontal="center" vertical="top"/>
    </xf>
    <xf numFmtId="0" fontId="4" fillId="2" borderId="4" xfId="0" applyFont="1" applyFill="1" applyBorder="1" applyAlignment="1">
      <alignment horizontal="left" vertical="center" wrapText="1" indent="2"/>
    </xf>
    <xf numFmtId="9" fontId="5" fillId="2" borderId="4" xfId="3" applyFont="1" applyFill="1" applyBorder="1" applyAlignment="1">
      <alignment horizontal="right" vertical="top"/>
    </xf>
    <xf numFmtId="0" fontId="3" fillId="3" borderId="4" xfId="0" applyFont="1" applyFill="1" applyBorder="1" applyAlignment="1">
      <alignment vertical="top" wrapText="1"/>
    </xf>
    <xf numFmtId="0" fontId="3" fillId="3" borderId="4" xfId="0" applyFont="1" applyFill="1" applyBorder="1" applyAlignment="1">
      <alignment horizontal="right" vertical="top"/>
    </xf>
    <xf numFmtId="3" fontId="0" fillId="0" borderId="0" xfId="0" applyNumberFormat="1"/>
    <xf numFmtId="9" fontId="0" fillId="0" borderId="0" xfId="0" applyNumberFormat="1"/>
    <xf numFmtId="3" fontId="5" fillId="4" borderId="0" xfId="0" applyNumberFormat="1" applyFont="1" applyFill="1"/>
    <xf numFmtId="1" fontId="5" fillId="4" borderId="0" xfId="0" applyNumberFormat="1" applyFont="1" applyFill="1"/>
    <xf numFmtId="1" fontId="5" fillId="0" borderId="0" xfId="0" applyNumberFormat="1" applyFont="1"/>
    <xf numFmtId="0" fontId="4" fillId="0" borderId="19" xfId="0" applyFont="1" applyBorder="1" applyAlignment="1">
      <alignment horizontal="right"/>
    </xf>
    <xf numFmtId="1" fontId="5" fillId="0" borderId="19" xfId="0" applyNumberFormat="1" applyFont="1" applyBorder="1"/>
    <xf numFmtId="3" fontId="5" fillId="0" borderId="19" xfId="0" applyNumberFormat="1" applyFont="1" applyBorder="1"/>
    <xf numFmtId="0" fontId="3" fillId="0" borderId="7" xfId="0" applyFont="1" applyBorder="1" applyAlignment="1">
      <alignment horizontal="right"/>
    </xf>
    <xf numFmtId="0" fontId="3" fillId="0" borderId="0" xfId="0" applyFont="1" applyAlignment="1">
      <alignment horizontal="right"/>
    </xf>
    <xf numFmtId="1" fontId="4" fillId="0" borderId="0" xfId="0" applyNumberFormat="1" applyFont="1"/>
    <xf numFmtId="1" fontId="4" fillId="0" borderId="19" xfId="0" applyNumberFormat="1" applyFont="1" applyBorder="1"/>
    <xf numFmtId="3" fontId="5" fillId="0" borderId="7" xfId="0" applyNumberFormat="1" applyFont="1" applyBorder="1"/>
    <xf numFmtId="0" fontId="3" fillId="3" borderId="4" xfId="0" applyFont="1" applyFill="1" applyBorder="1" applyAlignment="1">
      <alignment horizontal="left"/>
    </xf>
    <xf numFmtId="0" fontId="4" fillId="3" borderId="4" xfId="0" applyFont="1" applyFill="1" applyBorder="1"/>
    <xf numFmtId="1" fontId="6" fillId="0" borderId="4" xfId="0" applyNumberFormat="1" applyFont="1" applyBorder="1"/>
    <xf numFmtId="3" fontId="4" fillId="4" borderId="0" xfId="0" applyNumberFormat="1" applyFont="1" applyFill="1"/>
    <xf numFmtId="3" fontId="4" fillId="0" borderId="15" xfId="0" applyNumberFormat="1" applyFont="1" applyBorder="1" applyAlignment="1">
      <alignment horizontal="right"/>
    </xf>
    <xf numFmtId="3" fontId="4" fillId="0" borderId="9" xfId="0" applyNumberFormat="1" applyFont="1" applyBorder="1" applyAlignment="1">
      <alignment horizontal="right"/>
    </xf>
    <xf numFmtId="175" fontId="4" fillId="0" borderId="0" xfId="0" applyNumberFormat="1" applyFont="1"/>
    <xf numFmtId="0" fontId="4" fillId="2" borderId="7" xfId="0" applyFont="1" applyFill="1" applyBorder="1" applyAlignment="1">
      <alignment horizontal="left" vertical="top" wrapText="1" indent="1"/>
    </xf>
    <xf numFmtId="0" fontId="3" fillId="3" borderId="0" xfId="0" applyFont="1" applyFill="1" applyAlignment="1">
      <alignment horizontal="left"/>
    </xf>
    <xf numFmtId="0" fontId="3" fillId="2" borderId="0" xfId="0" applyFont="1" applyFill="1" applyAlignment="1">
      <alignment horizontal="center"/>
    </xf>
    <xf numFmtId="0" fontId="4" fillId="4" borderId="0" xfId="0" applyFont="1" applyFill="1"/>
    <xf numFmtId="0" fontId="4" fillId="4" borderId="19" xfId="0" applyFont="1" applyFill="1" applyBorder="1"/>
    <xf numFmtId="0" fontId="5" fillId="0" borderId="1" xfId="1" applyNumberFormat="1" applyFont="1" applyFill="1" applyBorder="1" applyAlignment="1">
      <alignment horizontal="left" vertical="center" wrapText="1"/>
    </xf>
    <xf numFmtId="49" fontId="38" fillId="0" borderId="62" xfId="1" applyNumberFormat="1" applyFont="1" applyFill="1" applyBorder="1" applyAlignment="1">
      <alignment vertical="center" wrapText="1"/>
    </xf>
    <xf numFmtId="164" fontId="14" fillId="0" borderId="1" xfId="1" applyNumberFormat="1" applyFont="1" applyFill="1" applyBorder="1" applyAlignment="1">
      <alignment horizontal="center" vertical="center" wrapText="1"/>
    </xf>
    <xf numFmtId="49" fontId="4" fillId="0" borderId="67" xfId="1" applyNumberFormat="1" applyFont="1" applyFill="1" applyBorder="1" applyAlignment="1">
      <alignment horizontal="left" vertical="center" wrapText="1"/>
    </xf>
    <xf numFmtId="164" fontId="4" fillId="0" borderId="62" xfId="1" applyNumberFormat="1" applyFont="1" applyFill="1" applyBorder="1" applyAlignment="1">
      <alignment vertical="center"/>
    </xf>
    <xf numFmtId="49" fontId="4" fillId="0" borderId="62" xfId="1" applyNumberFormat="1" applyFont="1" applyFill="1" applyBorder="1" applyAlignment="1">
      <alignment vertical="center" wrapText="1"/>
    </xf>
    <xf numFmtId="49" fontId="5" fillId="0" borderId="62" xfId="1" applyNumberFormat="1" applyFont="1" applyFill="1" applyBorder="1" applyAlignment="1">
      <alignment vertical="center" wrapText="1"/>
    </xf>
    <xf numFmtId="49" fontId="5" fillId="0" borderId="62" xfId="1" applyNumberFormat="1" applyFont="1" applyFill="1" applyBorder="1" applyAlignment="1">
      <alignment horizontal="left" vertical="center" wrapText="1"/>
    </xf>
    <xf numFmtId="164" fontId="4" fillId="0" borderId="0" xfId="1" applyNumberFormat="1" applyFont="1" applyFill="1" applyBorder="1"/>
    <xf numFmtId="164" fontId="1" fillId="2" borderId="8" xfId="0" applyNumberFormat="1" applyFont="1" applyFill="1" applyBorder="1" applyAlignment="1">
      <alignment vertical="center" wrapText="1"/>
    </xf>
    <xf numFmtId="164" fontId="0" fillId="2" borderId="1" xfId="0" applyNumberFormat="1" applyFill="1" applyBorder="1" applyAlignment="1">
      <alignment horizontal="left" vertical="center" wrapText="1"/>
    </xf>
    <xf numFmtId="168" fontId="0" fillId="2" borderId="1" xfId="3" applyNumberFormat="1" applyFont="1" applyFill="1" applyBorder="1" applyAlignment="1">
      <alignment horizontal="right" vertical="center" wrapText="1"/>
    </xf>
    <xf numFmtId="164" fontId="0" fillId="2" borderId="12" xfId="0" applyNumberFormat="1" applyFill="1" applyBorder="1" applyAlignment="1">
      <alignment horizontal="left" vertical="center" wrapText="1"/>
    </xf>
    <xf numFmtId="168" fontId="0" fillId="2" borderId="12" xfId="3" applyNumberFormat="1" applyFont="1" applyFill="1" applyBorder="1" applyAlignment="1">
      <alignment horizontal="right" vertical="center" wrapText="1"/>
    </xf>
    <xf numFmtId="0" fontId="0" fillId="2" borderId="57" xfId="0" applyFill="1" applyBorder="1" applyAlignment="1">
      <alignment horizontal="center" vertical="center"/>
    </xf>
    <xf numFmtId="0" fontId="0" fillId="2" borderId="58" xfId="0" applyFill="1" applyBorder="1" applyAlignment="1">
      <alignment vertical="center"/>
    </xf>
    <xf numFmtId="164" fontId="0" fillId="2" borderId="58" xfId="1" applyNumberFormat="1" applyFont="1" applyFill="1" applyBorder="1" applyAlignment="1">
      <alignment vertical="center"/>
    </xf>
    <xf numFmtId="164" fontId="0" fillId="2" borderId="58" xfId="0" applyNumberFormat="1" applyFill="1" applyBorder="1" applyAlignment="1">
      <alignment horizontal="left" vertical="center" wrapText="1"/>
    </xf>
    <xf numFmtId="165" fontId="0" fillId="2" borderId="59" xfId="2" applyNumberFormat="1" applyFont="1" applyFill="1" applyBorder="1" applyAlignment="1">
      <alignment horizontal="center" vertical="center" wrapText="1"/>
    </xf>
    <xf numFmtId="0" fontId="0" fillId="2" borderId="28" xfId="0" applyFill="1" applyBorder="1" applyAlignment="1">
      <alignment vertical="center"/>
    </xf>
    <xf numFmtId="0" fontId="0" fillId="2" borderId="45" xfId="0" applyFill="1" applyBorder="1" applyAlignment="1">
      <alignment vertical="center"/>
    </xf>
    <xf numFmtId="0" fontId="1" fillId="2" borderId="29" xfId="0" applyFont="1" applyFill="1" applyBorder="1" applyAlignment="1">
      <alignment horizontal="left" vertical="center" indent="7"/>
    </xf>
    <xf numFmtId="0" fontId="1" fillId="2" borderId="44" xfId="0" applyFont="1" applyFill="1" applyBorder="1" applyAlignment="1">
      <alignment horizontal="left" vertical="center" indent="7"/>
    </xf>
    <xf numFmtId="164" fontId="0" fillId="2" borderId="0" xfId="1" applyNumberFormat="1" applyFont="1" applyFill="1" applyBorder="1" applyAlignment="1">
      <alignment horizontal="right" vertical="center"/>
    </xf>
    <xf numFmtId="0" fontId="0" fillId="2" borderId="0" xfId="0" applyFill="1" applyAlignment="1">
      <alignment horizontal="right" vertical="center"/>
    </xf>
    <xf numFmtId="0" fontId="0" fillId="2" borderId="19" xfId="0" applyFill="1" applyBorder="1" applyAlignment="1">
      <alignment horizontal="right" vertical="center"/>
    </xf>
    <xf numFmtId="0" fontId="1" fillId="2" borderId="32" xfId="0" applyFont="1" applyFill="1" applyBorder="1" applyAlignment="1">
      <alignment horizontal="right" vertical="center"/>
    </xf>
    <xf numFmtId="0" fontId="19" fillId="2" borderId="7" xfId="0" applyFont="1" applyFill="1" applyBorder="1" applyAlignment="1">
      <alignment horizontal="center" vertical="top"/>
    </xf>
    <xf numFmtId="0" fontId="19" fillId="2" borderId="4" xfId="0" applyFont="1" applyFill="1" applyBorder="1" applyAlignment="1">
      <alignment horizontal="center" vertical="top"/>
    </xf>
    <xf numFmtId="0" fontId="7" fillId="2" borderId="0" xfId="0" applyFont="1" applyFill="1" applyAlignment="1">
      <alignment horizontal="center" vertical="center"/>
    </xf>
    <xf numFmtId="0" fontId="7" fillId="2" borderId="0" xfId="0" applyFont="1" applyFill="1" applyAlignment="1">
      <alignment horizontal="center" vertical="top"/>
    </xf>
    <xf numFmtId="0" fontId="7" fillId="2" borderId="7" xfId="0" applyFont="1" applyFill="1" applyBorder="1" applyAlignment="1">
      <alignment horizontal="center" vertical="top"/>
    </xf>
    <xf numFmtId="3" fontId="4" fillId="2" borderId="9" xfId="0" applyNumberFormat="1" applyFont="1" applyFill="1" applyBorder="1" applyAlignment="1">
      <alignment horizontal="right" vertical="top"/>
    </xf>
    <xf numFmtId="49" fontId="5" fillId="0" borderId="67" xfId="1" applyNumberFormat="1" applyFont="1" applyFill="1" applyBorder="1" applyAlignment="1">
      <alignment vertical="center" wrapText="1"/>
    </xf>
    <xf numFmtId="164" fontId="5" fillId="0" borderId="1" xfId="1" applyNumberFormat="1" applyFont="1" applyFill="1" applyBorder="1" applyAlignment="1">
      <alignment horizontal="centerContinuous" vertical="center" wrapText="1"/>
    </xf>
    <xf numFmtId="164" fontId="5" fillId="0" borderId="3" xfId="1" applyNumberFormat="1" applyFont="1" applyFill="1" applyBorder="1" applyAlignment="1">
      <alignment horizontal="centerContinuous" vertical="center" wrapText="1"/>
    </xf>
    <xf numFmtId="190" fontId="5" fillId="0" borderId="1" xfId="1" applyNumberFormat="1" applyFont="1" applyFill="1" applyBorder="1" applyAlignment="1">
      <alignment horizontal="right" vertical="center" wrapText="1"/>
    </xf>
    <xf numFmtId="166" fontId="5" fillId="0" borderId="1" xfId="1" applyNumberFormat="1" applyFont="1" applyFill="1" applyBorder="1" applyAlignment="1">
      <alignment horizontal="right" vertical="center" wrapText="1"/>
    </xf>
    <xf numFmtId="164" fontId="5" fillId="0" borderId="8" xfId="1" applyNumberFormat="1" applyFont="1" applyFill="1" applyBorder="1" applyAlignment="1">
      <alignment vertical="center"/>
    </xf>
    <xf numFmtId="173" fontId="5" fillId="0" borderId="0" xfId="1" applyNumberFormat="1" applyFont="1" applyFill="1" applyAlignment="1">
      <alignment vertical="center"/>
    </xf>
    <xf numFmtId="49" fontId="5" fillId="0" borderId="62" xfId="1" applyNumberFormat="1" applyFont="1" applyFill="1" applyBorder="1" applyAlignment="1">
      <alignment vertical="top"/>
    </xf>
    <xf numFmtId="49" fontId="5" fillId="0" borderId="62" xfId="1" applyNumberFormat="1" applyFont="1" applyFill="1" applyBorder="1" applyAlignment="1">
      <alignment horizontal="center" vertical="center" wrapText="1"/>
    </xf>
    <xf numFmtId="164" fontId="4" fillId="0" borderId="1" xfId="1" applyNumberFormat="1" applyFont="1" applyFill="1" applyBorder="1" applyAlignment="1">
      <alignment vertical="center"/>
    </xf>
    <xf numFmtId="184" fontId="4" fillId="0" borderId="5" xfId="1" applyNumberFormat="1" applyFont="1" applyFill="1" applyBorder="1" applyAlignment="1">
      <alignment horizontal="right" vertical="center" wrapText="1"/>
    </xf>
    <xf numFmtId="164" fontId="5" fillId="0" borderId="5" xfId="1"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49" fontId="5" fillId="0" borderId="64" xfId="1" applyNumberFormat="1" applyFont="1" applyFill="1" applyBorder="1" applyAlignment="1">
      <alignment vertical="center" wrapText="1"/>
    </xf>
    <xf numFmtId="181" fontId="4" fillId="0" borderId="73" xfId="1" applyNumberFormat="1" applyFont="1" applyFill="1" applyBorder="1" applyAlignment="1">
      <alignment horizontal="right" vertical="center" wrapText="1"/>
    </xf>
    <xf numFmtId="164" fontId="5" fillId="0" borderId="73" xfId="1" applyNumberFormat="1" applyFont="1" applyFill="1" applyBorder="1" applyAlignment="1">
      <alignment horizontal="center" vertical="center" wrapText="1"/>
    </xf>
    <xf numFmtId="171" fontId="5" fillId="0" borderId="73" xfId="1" applyNumberFormat="1" applyFont="1" applyFill="1" applyBorder="1" applyAlignment="1">
      <alignment horizontal="right" vertical="center" wrapText="1"/>
    </xf>
    <xf numFmtId="184" fontId="4" fillId="0" borderId="73" xfId="1" applyNumberFormat="1" applyFont="1" applyFill="1" applyBorder="1" applyAlignment="1">
      <alignment horizontal="right" vertical="center" wrapText="1"/>
    </xf>
    <xf numFmtId="164" fontId="4" fillId="0" borderId="73" xfId="1" applyNumberFormat="1" applyFont="1" applyFill="1" applyBorder="1" applyAlignment="1">
      <alignment horizontal="center" vertical="center" wrapText="1"/>
    </xf>
    <xf numFmtId="164" fontId="4" fillId="0" borderId="87" xfId="1" applyNumberFormat="1" applyFont="1" applyFill="1" applyBorder="1" applyAlignment="1">
      <alignment horizontal="center" vertical="center" wrapText="1"/>
    </xf>
    <xf numFmtId="49" fontId="4" fillId="0" borderId="88" xfId="1" applyNumberFormat="1" applyFont="1" applyFill="1" applyBorder="1" applyAlignment="1">
      <alignment vertical="top" wrapText="1"/>
    </xf>
    <xf numFmtId="49" fontId="4" fillId="0" borderId="88" xfId="1" applyNumberFormat="1" applyFont="1" applyFill="1" applyBorder="1" applyAlignment="1">
      <alignment vertical="center"/>
    </xf>
    <xf numFmtId="164" fontId="4" fillId="0" borderId="88" xfId="1" applyNumberFormat="1" applyFont="1" applyFill="1" applyBorder="1" applyAlignment="1">
      <alignment vertical="center"/>
    </xf>
    <xf numFmtId="49" fontId="4" fillId="0" borderId="1" xfId="1" applyNumberFormat="1" applyFont="1" applyFill="1" applyBorder="1" applyAlignment="1">
      <alignment vertical="top" wrapText="1"/>
    </xf>
    <xf numFmtId="49" fontId="4" fillId="0" borderId="1" xfId="1" applyNumberFormat="1" applyFont="1" applyFill="1" applyBorder="1" applyAlignment="1">
      <alignment vertical="center"/>
    </xf>
    <xf numFmtId="0" fontId="4" fillId="2" borderId="5"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164" fontId="14" fillId="0" borderId="12" xfId="1" applyNumberFormat="1" applyFont="1" applyFill="1" applyBorder="1" applyAlignment="1">
      <alignment horizontal="center" vertical="center" wrapText="1"/>
    </xf>
    <xf numFmtId="164" fontId="4" fillId="0" borderId="17" xfId="1" applyNumberFormat="1" applyFont="1" applyFill="1" applyBorder="1" applyAlignment="1">
      <alignment horizontal="center" vertical="center"/>
    </xf>
    <xf numFmtId="166" fontId="5" fillId="0" borderId="8" xfId="1" applyNumberFormat="1" applyFont="1" applyFill="1" applyBorder="1" applyAlignment="1">
      <alignment horizontal="right" vertical="center" wrapText="1"/>
    </xf>
    <xf numFmtId="164" fontId="5" fillId="0" borderId="8" xfId="1" applyNumberFormat="1" applyFont="1" applyFill="1" applyBorder="1" applyAlignment="1">
      <alignment horizontal="center" vertical="center" wrapText="1"/>
    </xf>
    <xf numFmtId="49" fontId="5" fillId="0" borderId="67" xfId="1" applyNumberFormat="1" applyFont="1" applyFill="1" applyBorder="1" applyAlignment="1">
      <alignment vertical="top" wrapText="1"/>
    </xf>
    <xf numFmtId="49" fontId="5" fillId="0" borderId="67" xfId="1" applyNumberFormat="1" applyFont="1" applyFill="1" applyBorder="1" applyAlignment="1">
      <alignment horizontal="center" vertical="center" wrapText="1"/>
    </xf>
    <xf numFmtId="49" fontId="5" fillId="0" borderId="62" xfId="1" applyNumberFormat="1" applyFont="1" applyFill="1" applyBorder="1" applyAlignment="1">
      <alignment vertical="top" wrapText="1"/>
    </xf>
    <xf numFmtId="43" fontId="5" fillId="0" borderId="1" xfId="1" applyFont="1" applyFill="1" applyBorder="1" applyAlignment="1">
      <alignment horizontal="right" vertical="center" wrapText="1"/>
    </xf>
    <xf numFmtId="177" fontId="5" fillId="0" borderId="1" xfId="1" applyNumberFormat="1" applyFont="1" applyFill="1" applyBorder="1" applyAlignment="1">
      <alignment horizontal="right" vertical="center" wrapText="1"/>
    </xf>
    <xf numFmtId="43" fontId="5" fillId="0" borderId="1" xfId="1" applyFont="1" applyFill="1" applyBorder="1" applyAlignment="1">
      <alignment horizontal="centerContinuous" vertical="center" wrapText="1"/>
    </xf>
    <xf numFmtId="164" fontId="5" fillId="0" borderId="1" xfId="1" applyNumberFormat="1" applyFont="1" applyFill="1" applyBorder="1" applyAlignment="1">
      <alignment vertical="center" wrapText="1"/>
    </xf>
    <xf numFmtId="164" fontId="5" fillId="0" borderId="5" xfId="1" applyNumberFormat="1" applyFont="1" applyFill="1" applyBorder="1" applyAlignment="1">
      <alignment horizontal="right" vertical="center" wrapText="1"/>
    </xf>
    <xf numFmtId="166" fontId="5" fillId="2" borderId="1" xfId="1" applyNumberFormat="1" applyFont="1" applyFill="1" applyBorder="1" applyAlignment="1">
      <alignment horizontal="right" vertical="center" wrapText="1"/>
    </xf>
    <xf numFmtId="164" fontId="5" fillId="0" borderId="8" xfId="1" applyNumberFormat="1" applyFont="1" applyFill="1" applyBorder="1" applyAlignment="1">
      <alignment horizontal="centerContinuous" vertical="center" wrapText="1"/>
    </xf>
    <xf numFmtId="180" fontId="5" fillId="0" borderId="8" xfId="1" applyNumberFormat="1" applyFont="1" applyFill="1" applyBorder="1" applyAlignment="1">
      <alignment horizontal="right" vertical="center" wrapText="1"/>
    </xf>
    <xf numFmtId="181" fontId="5" fillId="0" borderId="1" xfId="1" applyNumberFormat="1" applyFont="1" applyFill="1" applyBorder="1" applyAlignment="1">
      <alignment horizontal="right" vertical="center" wrapText="1"/>
    </xf>
    <xf numFmtId="49" fontId="5" fillId="0" borderId="62" xfId="1" applyNumberFormat="1" applyFont="1" applyFill="1" applyBorder="1" applyAlignment="1">
      <alignment horizontal="left" vertical="top" wrapText="1"/>
    </xf>
    <xf numFmtId="180" fontId="5" fillId="0" borderId="1" xfId="1" applyNumberFormat="1" applyFont="1" applyFill="1" applyBorder="1" applyAlignment="1">
      <alignment horizontal="right" vertical="center" wrapText="1"/>
    </xf>
    <xf numFmtId="164" fontId="5" fillId="2" borderId="8" xfId="1" applyNumberFormat="1" applyFont="1" applyFill="1" applyBorder="1" applyAlignment="1">
      <alignment vertical="center"/>
    </xf>
    <xf numFmtId="182" fontId="5" fillId="0" borderId="1" xfId="1" applyNumberFormat="1" applyFont="1" applyFill="1" applyBorder="1" applyAlignment="1">
      <alignment horizontal="right" vertical="center" wrapText="1"/>
    </xf>
    <xf numFmtId="187" fontId="5" fillId="0" borderId="1" xfId="1" applyNumberFormat="1" applyFont="1" applyFill="1" applyBorder="1" applyAlignment="1">
      <alignment horizontal="right" vertical="center" wrapText="1"/>
    </xf>
    <xf numFmtId="43" fontId="5" fillId="0" borderId="1" xfId="1" applyFont="1" applyFill="1" applyBorder="1" applyAlignment="1">
      <alignment horizontal="right" vertical="center" wrapText="1" indent="1"/>
    </xf>
    <xf numFmtId="0" fontId="5" fillId="0" borderId="1" xfId="1" applyNumberFormat="1" applyFont="1" applyFill="1" applyBorder="1" applyAlignment="1">
      <alignment horizontal="left" vertical="top" wrapText="1"/>
    </xf>
    <xf numFmtId="179" fontId="5" fillId="0" borderId="1" xfId="1" applyNumberFormat="1" applyFont="1" applyFill="1" applyBorder="1" applyAlignment="1">
      <alignment horizontal="right" vertical="center" wrapText="1"/>
    </xf>
    <xf numFmtId="184" fontId="5" fillId="0" borderId="1" xfId="1" applyNumberFormat="1" applyFont="1" applyFill="1" applyBorder="1" applyAlignment="1">
      <alignment horizontal="right" vertical="center" wrapText="1"/>
    </xf>
    <xf numFmtId="166" fontId="5" fillId="0" borderId="2" xfId="1" applyNumberFormat="1" applyFont="1" applyFill="1" applyBorder="1" applyAlignment="1">
      <alignment horizontal="centerContinuous" vertical="center" wrapText="1"/>
    </xf>
    <xf numFmtId="183" fontId="5" fillId="0" borderId="1" xfId="1" applyNumberFormat="1" applyFont="1" applyFill="1" applyBorder="1" applyAlignment="1">
      <alignment horizontal="right" vertical="center" wrapText="1"/>
    </xf>
    <xf numFmtId="191" fontId="5" fillId="2" borderId="1" xfId="1" applyNumberFormat="1" applyFont="1" applyFill="1" applyBorder="1" applyAlignment="1">
      <alignment horizontal="right" vertical="center" wrapText="1"/>
    </xf>
    <xf numFmtId="191" fontId="5" fillId="0" borderId="1" xfId="1" applyNumberFormat="1" applyFont="1" applyFill="1" applyBorder="1" applyAlignment="1">
      <alignment horizontal="right" vertical="center" wrapText="1"/>
    </xf>
    <xf numFmtId="0" fontId="5" fillId="2" borderId="5" xfId="1" applyNumberFormat="1" applyFont="1" applyFill="1" applyBorder="1" applyAlignment="1">
      <alignment horizontal="left" vertical="center" wrapText="1"/>
    </xf>
    <xf numFmtId="181" fontId="5" fillId="0" borderId="5" xfId="1" applyNumberFormat="1" applyFont="1" applyFill="1" applyBorder="1" applyAlignment="1">
      <alignment horizontal="right" vertical="center" wrapText="1"/>
    </xf>
    <xf numFmtId="166" fontId="5" fillId="2" borderId="5" xfId="1" applyNumberFormat="1" applyFont="1" applyFill="1" applyBorder="1" applyAlignment="1">
      <alignment horizontal="right" vertical="center" wrapText="1"/>
    </xf>
    <xf numFmtId="166" fontId="5" fillId="0" borderId="5" xfId="1" applyNumberFormat="1" applyFont="1" applyFill="1" applyBorder="1" applyAlignment="1">
      <alignment horizontal="right" vertical="center" wrapText="1"/>
    </xf>
    <xf numFmtId="164" fontId="5" fillId="0" borderId="14" xfId="1" applyNumberFormat="1" applyFont="1" applyFill="1" applyBorder="1" applyAlignment="1">
      <alignment vertical="center"/>
    </xf>
    <xf numFmtId="49" fontId="5" fillId="0" borderId="64" xfId="1" applyNumberFormat="1" applyFont="1" applyFill="1" applyBorder="1" applyAlignment="1">
      <alignment horizontal="center" vertical="center" wrapText="1"/>
    </xf>
    <xf numFmtId="164" fontId="5" fillId="0" borderId="1" xfId="1" applyNumberFormat="1" applyFont="1" applyFill="1" applyBorder="1" applyAlignment="1">
      <alignment vertical="center"/>
    </xf>
    <xf numFmtId="49" fontId="5" fillId="0" borderId="64" xfId="1" applyNumberFormat="1" applyFont="1" applyFill="1" applyBorder="1" applyAlignment="1">
      <alignment vertical="top"/>
    </xf>
    <xf numFmtId="49" fontId="5" fillId="0" borderId="7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5" fillId="2" borderId="73" xfId="1" applyNumberFormat="1" applyFont="1" applyFill="1" applyBorder="1" applyAlignment="1">
      <alignment horizontal="left" vertical="center" wrapText="1"/>
    </xf>
    <xf numFmtId="185" fontId="5" fillId="0" borderId="85" xfId="1" applyNumberFormat="1" applyFont="1" applyFill="1" applyBorder="1" applyAlignment="1">
      <alignment horizontal="right" vertical="center" wrapText="1"/>
    </xf>
    <xf numFmtId="166" fontId="5" fillId="2" borderId="73" xfId="1" applyNumberFormat="1" applyFont="1" applyFill="1" applyBorder="1" applyAlignment="1">
      <alignment horizontal="right" vertical="center" wrapText="1"/>
    </xf>
    <xf numFmtId="185" fontId="5" fillId="0" borderId="14" xfId="1" applyNumberFormat="1" applyFont="1" applyFill="1" applyBorder="1" applyAlignment="1">
      <alignment horizontal="right" vertical="center" wrapText="1"/>
    </xf>
    <xf numFmtId="164" fontId="5" fillId="0" borderId="73" xfId="1" applyNumberFormat="1" applyFont="1" applyFill="1" applyBorder="1" applyAlignment="1">
      <alignment horizontal="right" vertical="center" wrapText="1"/>
    </xf>
    <xf numFmtId="166" fontId="5" fillId="0" borderId="73" xfId="1" applyNumberFormat="1" applyFont="1" applyFill="1" applyBorder="1" applyAlignment="1">
      <alignment horizontal="right" vertical="center" wrapText="1"/>
    </xf>
    <xf numFmtId="164" fontId="5" fillId="0" borderId="85" xfId="1" applyNumberFormat="1" applyFont="1" applyFill="1" applyBorder="1" applyAlignment="1">
      <alignment vertical="center"/>
    </xf>
    <xf numFmtId="49" fontId="5" fillId="0" borderId="63" xfId="1" applyNumberFormat="1" applyFont="1" applyFill="1" applyBorder="1" applyAlignment="1">
      <alignment vertical="top"/>
    </xf>
    <xf numFmtId="49" fontId="5" fillId="0" borderId="63" xfId="1" applyNumberFormat="1" applyFont="1" applyFill="1" applyBorder="1" applyAlignment="1">
      <alignment horizontal="center" vertical="center" wrapText="1"/>
    </xf>
    <xf numFmtId="49" fontId="5" fillId="0" borderId="86"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6" fontId="6" fillId="0" borderId="1" xfId="1" applyNumberFormat="1" applyFont="1" applyFill="1" applyBorder="1" applyAlignment="1">
      <alignment horizontal="centerContinuous" vertical="center" wrapText="1"/>
    </xf>
    <xf numFmtId="164" fontId="5" fillId="2" borderId="1" xfId="1" applyNumberFormat="1" applyFont="1" applyFill="1" applyBorder="1" applyAlignment="1">
      <alignment horizontal="centerContinuous" vertical="center" wrapText="1"/>
    </xf>
    <xf numFmtId="166" fontId="5" fillId="2" borderId="1" xfId="1" applyNumberFormat="1" applyFont="1" applyFill="1" applyBorder="1" applyAlignment="1">
      <alignment horizontal="centerContinuous" vertical="center" wrapText="1"/>
    </xf>
    <xf numFmtId="173" fontId="5" fillId="0" borderId="1" xfId="1" applyNumberFormat="1" applyFont="1" applyFill="1" applyBorder="1" applyAlignment="1">
      <alignment vertical="center"/>
    </xf>
    <xf numFmtId="49" fontId="5" fillId="0" borderId="1" xfId="1" applyNumberFormat="1" applyFont="1" applyFill="1" applyBorder="1" applyAlignment="1">
      <alignment vertical="top" wrapText="1"/>
    </xf>
    <xf numFmtId="166" fontId="5" fillId="0" borderId="8" xfId="1" applyNumberFormat="1" applyFont="1" applyFill="1" applyBorder="1" applyAlignment="1">
      <alignment horizontal="centerContinuous" vertical="center" wrapText="1"/>
    </xf>
    <xf numFmtId="164" fontId="5" fillId="0" borderId="6" xfId="1" applyNumberFormat="1" applyFont="1" applyFill="1" applyBorder="1" applyAlignment="1">
      <alignment horizontal="centerContinuous" vertical="center" wrapText="1"/>
    </xf>
    <xf numFmtId="49" fontId="5" fillId="0" borderId="67" xfId="1" applyNumberFormat="1" applyFont="1" applyFill="1" applyBorder="1" applyAlignment="1">
      <alignment vertical="top"/>
    </xf>
    <xf numFmtId="164" fontId="4" fillId="2" borderId="1" xfId="1" applyNumberFormat="1" applyFont="1" applyFill="1" applyBorder="1" applyAlignment="1">
      <alignment vertical="center"/>
    </xf>
    <xf numFmtId="173" fontId="4" fillId="0" borderId="1" xfId="1" applyNumberFormat="1" applyFont="1" applyFill="1" applyBorder="1" applyAlignment="1">
      <alignment vertical="center"/>
    </xf>
    <xf numFmtId="49" fontId="4" fillId="0" borderId="1" xfId="1" applyNumberFormat="1" applyFont="1" applyFill="1" applyBorder="1" applyAlignment="1">
      <alignment vertical="top"/>
    </xf>
    <xf numFmtId="49" fontId="4" fillId="0" borderId="1" xfId="1" applyNumberFormat="1" applyFont="1" applyFill="1" applyBorder="1" applyAlignment="1">
      <alignment horizontal="center" vertical="center" wrapText="1"/>
    </xf>
    <xf numFmtId="0" fontId="0" fillId="2" borderId="9" xfId="0" applyFill="1" applyBorder="1" applyAlignment="1">
      <alignment horizontal="center"/>
    </xf>
    <xf numFmtId="164" fontId="3" fillId="2" borderId="90" xfId="1" applyNumberFormat="1" applyFont="1" applyFill="1" applyBorder="1" applyAlignment="1">
      <alignment horizontal="center" vertical="center" wrapText="1"/>
    </xf>
    <xf numFmtId="164" fontId="3" fillId="2" borderId="91" xfId="1" applyNumberFormat="1" applyFont="1" applyFill="1" applyBorder="1" applyAlignment="1">
      <alignment horizontal="center" vertical="center" wrapText="1"/>
    </xf>
    <xf numFmtId="186" fontId="4" fillId="0" borderId="5" xfId="1" applyNumberFormat="1" applyFont="1" applyFill="1" applyBorder="1" applyAlignment="1">
      <alignment horizontal="right" vertical="center" wrapText="1"/>
    </xf>
    <xf numFmtId="164" fontId="4" fillId="0" borderId="15" xfId="1" applyNumberFormat="1" applyFont="1" applyFill="1" applyBorder="1" applyAlignment="1">
      <alignment vertical="center" wrapText="1"/>
    </xf>
    <xf numFmtId="49" fontId="4" fillId="0" borderId="64" xfId="1" applyNumberFormat="1" applyFont="1" applyFill="1" applyBorder="1" applyAlignment="1">
      <alignment vertical="top" wrapText="1"/>
    </xf>
    <xf numFmtId="49" fontId="4" fillId="0" borderId="64" xfId="1" applyNumberFormat="1" applyFont="1" applyFill="1" applyBorder="1" applyAlignment="1">
      <alignment vertical="center"/>
    </xf>
    <xf numFmtId="164" fontId="4" fillId="0" borderId="64" xfId="1" applyNumberFormat="1" applyFont="1" applyFill="1" applyBorder="1" applyAlignment="1">
      <alignment vertical="center"/>
    </xf>
    <xf numFmtId="180" fontId="4" fillId="0" borderId="8" xfId="1" applyNumberFormat="1" applyFont="1" applyFill="1" applyBorder="1" applyAlignment="1">
      <alignment horizontal="right" vertical="center" wrapText="1"/>
    </xf>
    <xf numFmtId="49" fontId="38" fillId="0" borderId="79" xfId="1" applyNumberFormat="1" applyFont="1" applyFill="1" applyBorder="1" applyAlignment="1">
      <alignment vertical="top" wrapText="1"/>
    </xf>
    <xf numFmtId="49" fontId="38" fillId="0" borderId="67" xfId="1" applyNumberFormat="1" applyFont="1" applyFill="1" applyBorder="1" applyAlignment="1">
      <alignment vertical="center" wrapText="1"/>
    </xf>
    <xf numFmtId="169" fontId="4" fillId="0" borderId="92" xfId="1" applyNumberFormat="1" applyFont="1" applyFill="1" applyBorder="1" applyAlignment="1">
      <alignment horizontal="centerContinuous" vertical="center" wrapText="1"/>
    </xf>
    <xf numFmtId="164" fontId="4" fillId="0" borderId="92" xfId="1" applyNumberFormat="1" applyFont="1" applyFill="1" applyBorder="1" applyAlignment="1">
      <alignment horizontal="centerContinuous" vertical="center" wrapText="1"/>
    </xf>
    <xf numFmtId="164" fontId="4" fillId="0" borderId="93" xfId="1" applyNumberFormat="1" applyFont="1" applyFill="1" applyBorder="1" applyAlignment="1">
      <alignment horizontal="center" vertical="center" wrapText="1"/>
    </xf>
    <xf numFmtId="164" fontId="0" fillId="0" borderId="1" xfId="0" applyNumberFormat="1" applyBorder="1" applyAlignment="1">
      <alignment horizontal="left" vertical="center" wrapText="1"/>
    </xf>
    <xf numFmtId="0" fontId="12" fillId="2" borderId="5" xfId="1" applyNumberFormat="1" applyFont="1" applyFill="1" applyBorder="1" applyAlignment="1">
      <alignment horizontal="center" vertical="center" wrapText="1"/>
    </xf>
    <xf numFmtId="0" fontId="41" fillId="3" borderId="25" xfId="0" applyFont="1" applyFill="1" applyBorder="1" applyAlignment="1">
      <alignment horizontal="center" vertical="center"/>
    </xf>
    <xf numFmtId="43" fontId="5" fillId="0" borderId="5" xfId="1" applyFont="1" applyFill="1" applyBorder="1" applyAlignment="1">
      <alignment horizontal="right" vertical="center" wrapText="1"/>
    </xf>
    <xf numFmtId="0" fontId="3" fillId="0" borderId="73" xfId="1" applyNumberFormat="1" applyFont="1" applyFill="1" applyBorder="1" applyAlignment="1">
      <alignment horizontal="left" vertical="center" wrapText="1"/>
    </xf>
    <xf numFmtId="0" fontId="3" fillId="0" borderId="87" xfId="1" applyNumberFormat="1" applyFont="1" applyFill="1" applyBorder="1" applyAlignment="1">
      <alignment horizontal="center" vertical="center" wrapText="1"/>
    </xf>
    <xf numFmtId="164" fontId="4" fillId="0" borderId="88" xfId="1" applyNumberFormat="1" applyFont="1" applyFill="1" applyBorder="1" applyAlignment="1">
      <alignment horizontal="center" vertical="center" wrapText="1"/>
    </xf>
    <xf numFmtId="164" fontId="3" fillId="0" borderId="88" xfId="1" applyNumberFormat="1" applyFont="1" applyFill="1" applyBorder="1" applyAlignment="1">
      <alignment horizontal="center" vertical="center" wrapText="1"/>
    </xf>
    <xf numFmtId="164" fontId="4" fillId="0" borderId="7" xfId="1" applyNumberFormat="1" applyFont="1" applyFill="1" applyBorder="1"/>
    <xf numFmtId="164" fontId="18" fillId="0" borderId="7" xfId="1" applyNumberFormat="1" applyFont="1" applyFill="1" applyBorder="1" applyAlignment="1">
      <alignment horizontal="center" vertical="center"/>
    </xf>
    <xf numFmtId="0" fontId="3" fillId="2" borderId="73" xfId="1" applyNumberFormat="1" applyFont="1" applyFill="1" applyBorder="1" applyAlignment="1">
      <alignment horizontal="center" vertical="center" wrapText="1"/>
    </xf>
    <xf numFmtId="49" fontId="3" fillId="0" borderId="88" xfId="1" applyNumberFormat="1" applyFont="1" applyFill="1" applyBorder="1" applyAlignment="1">
      <alignment horizontal="center" vertical="center" wrapText="1"/>
    </xf>
    <xf numFmtId="0" fontId="29" fillId="2" borderId="7" xfId="1" applyNumberFormat="1" applyFont="1" applyFill="1" applyBorder="1" applyAlignment="1"/>
    <xf numFmtId="164" fontId="0" fillId="0" borderId="7" xfId="1" applyNumberFormat="1" applyFont="1" applyFill="1" applyBorder="1"/>
    <xf numFmtId="164" fontId="0" fillId="0" borderId="7" xfId="1" applyNumberFormat="1" applyFont="1" applyFill="1" applyBorder="1" applyAlignment="1">
      <alignment horizontal="center" wrapText="1"/>
    </xf>
    <xf numFmtId="164" fontId="0" fillId="0" borderId="12" xfId="0" applyNumberFormat="1" applyBorder="1" applyAlignment="1">
      <alignment horizontal="left" vertical="center" wrapText="1"/>
    </xf>
    <xf numFmtId="0" fontId="5" fillId="0" borderId="5" xfId="1" applyNumberFormat="1" applyFont="1" applyFill="1" applyBorder="1" applyAlignment="1">
      <alignment horizontal="left" vertical="center" wrapText="1"/>
    </xf>
    <xf numFmtId="177" fontId="5" fillId="0" borderId="5" xfId="1" applyNumberFormat="1" applyFont="1" applyFill="1" applyBorder="1" applyAlignment="1">
      <alignment horizontal="right" vertical="center" wrapText="1"/>
    </xf>
    <xf numFmtId="173" fontId="5" fillId="0" borderId="8" xfId="1" applyNumberFormat="1" applyFont="1" applyFill="1" applyBorder="1" applyAlignment="1">
      <alignment vertical="center"/>
    </xf>
    <xf numFmtId="49" fontId="5" fillId="0" borderId="8" xfId="1" applyNumberFormat="1" applyFont="1" applyFill="1" applyBorder="1" applyAlignment="1">
      <alignment vertical="top"/>
    </xf>
    <xf numFmtId="49" fontId="5" fillId="0" borderId="8" xfId="1" applyNumberFormat="1" applyFont="1" applyFill="1" applyBorder="1" applyAlignment="1">
      <alignment horizontal="center" vertical="center" wrapText="1"/>
    </xf>
    <xf numFmtId="164" fontId="21" fillId="0" borderId="8" xfId="1" applyNumberFormat="1" applyFont="1" applyFill="1" applyBorder="1" applyAlignment="1">
      <alignment horizontal="center" vertical="center" wrapText="1"/>
    </xf>
    <xf numFmtId="49" fontId="28" fillId="0" borderId="62" xfId="0" applyNumberFormat="1" applyFont="1" applyBorder="1" applyAlignment="1">
      <alignment vertical="center" wrapText="1"/>
    </xf>
    <xf numFmtId="192" fontId="5" fillId="0" borderId="1" xfId="1" applyNumberFormat="1" applyFont="1" applyFill="1" applyBorder="1" applyAlignment="1">
      <alignment horizontal="right" vertical="center" wrapText="1"/>
    </xf>
    <xf numFmtId="181" fontId="5" fillId="2" borderId="1" xfId="1" applyNumberFormat="1" applyFont="1" applyFill="1" applyBorder="1" applyAlignment="1">
      <alignment horizontal="right" vertical="center" wrapText="1"/>
    </xf>
    <xf numFmtId="164" fontId="5" fillId="2" borderId="3" xfId="1" applyNumberFormat="1" applyFont="1" applyFill="1" applyBorder="1" applyAlignment="1">
      <alignment horizontal="centerContinuous" vertical="center" wrapText="1"/>
    </xf>
    <xf numFmtId="173" fontId="5" fillId="2" borderId="0" xfId="1" applyNumberFormat="1" applyFont="1" applyFill="1" applyAlignment="1">
      <alignment vertical="center"/>
    </xf>
    <xf numFmtId="49" fontId="5" fillId="2" borderId="62" xfId="1" applyNumberFormat="1" applyFont="1" applyFill="1" applyBorder="1" applyAlignment="1">
      <alignment vertical="top" wrapText="1"/>
    </xf>
    <xf numFmtId="49" fontId="5" fillId="2" borderId="62" xfId="1" applyNumberFormat="1" applyFont="1" applyFill="1" applyBorder="1" applyAlignment="1">
      <alignment horizontal="center" vertical="center" wrapText="1"/>
    </xf>
    <xf numFmtId="49" fontId="5" fillId="2" borderId="62" xfId="1" applyNumberFormat="1" applyFont="1" applyFill="1" applyBorder="1" applyAlignment="1">
      <alignment vertical="center" wrapText="1"/>
    </xf>
    <xf numFmtId="187" fontId="5" fillId="2" borderId="1" xfId="1" applyNumberFormat="1" applyFont="1" applyFill="1" applyBorder="1" applyAlignment="1">
      <alignment horizontal="right" vertical="center" wrapText="1"/>
    </xf>
    <xf numFmtId="49" fontId="5" fillId="2" borderId="62" xfId="1" applyNumberFormat="1" applyFont="1" applyFill="1" applyBorder="1" applyAlignment="1">
      <alignment vertical="top"/>
    </xf>
    <xf numFmtId="0" fontId="28" fillId="0" borderId="0" xfId="0" applyFont="1"/>
    <xf numFmtId="49" fontId="28" fillId="0" borderId="62" xfId="1" applyNumberFormat="1" applyFont="1" applyFill="1" applyBorder="1" applyAlignment="1">
      <alignment horizontal="center" vertical="center" wrapText="1"/>
    </xf>
    <xf numFmtId="166" fontId="6" fillId="0" borderId="8" xfId="1" applyNumberFormat="1" applyFont="1" applyFill="1" applyBorder="1" applyAlignment="1">
      <alignment horizontal="centerContinuous" vertical="center" wrapText="1"/>
    </xf>
    <xf numFmtId="164" fontId="20" fillId="0" borderId="8" xfId="1" applyNumberFormat="1" applyFont="1" applyFill="1" applyBorder="1" applyAlignment="1">
      <alignment horizontal="centerContinuous" vertical="center" wrapText="1"/>
    </xf>
    <xf numFmtId="166" fontId="5" fillId="2" borderId="8" xfId="1" applyNumberFormat="1" applyFont="1" applyFill="1" applyBorder="1" applyAlignment="1">
      <alignment horizontal="centerContinuous" vertical="center" wrapText="1"/>
    </xf>
    <xf numFmtId="164" fontId="5" fillId="2" borderId="8" xfId="1" applyNumberFormat="1" applyFont="1" applyFill="1" applyBorder="1" applyAlignment="1">
      <alignment horizontal="centerContinuous" vertical="center" wrapText="1"/>
    </xf>
    <xf numFmtId="49" fontId="5" fillId="0" borderId="8" xfId="1" applyNumberFormat="1" applyFont="1" applyFill="1" applyBorder="1" applyAlignment="1">
      <alignment vertical="top" wrapText="1"/>
    </xf>
    <xf numFmtId="49" fontId="5" fillId="0" borderId="1" xfId="1" applyNumberFormat="1" applyFont="1" applyFill="1" applyBorder="1" applyAlignment="1">
      <alignment vertical="top"/>
    </xf>
    <xf numFmtId="166" fontId="3" fillId="2" borderId="13" xfId="1" applyNumberFormat="1" applyFont="1" applyFill="1" applyBorder="1" applyAlignment="1">
      <alignment horizontal="right" vertical="center" wrapText="1"/>
    </xf>
    <xf numFmtId="164" fontId="3" fillId="2" borderId="8" xfId="1" applyNumberFormat="1" applyFont="1" applyFill="1" applyBorder="1" applyAlignment="1">
      <alignment vertical="center"/>
    </xf>
    <xf numFmtId="164" fontId="0" fillId="2" borderId="0" xfId="1" applyNumberFormat="1" applyFont="1" applyFill="1" applyAlignment="1">
      <alignment horizontal="center" wrapText="1"/>
    </xf>
    <xf numFmtId="0" fontId="41" fillId="3" borderId="43" xfId="0" applyFont="1" applyFill="1" applyBorder="1" applyAlignment="1">
      <alignment horizontal="center" wrapText="1"/>
    </xf>
    <xf numFmtId="173" fontId="0" fillId="2" borderId="7" xfId="1" applyNumberFormat="1" applyFont="1" applyFill="1" applyBorder="1" applyAlignment="1">
      <alignment vertical="center"/>
    </xf>
    <xf numFmtId="173" fontId="0" fillId="2" borderId="0" xfId="1" applyNumberFormat="1" applyFont="1" applyFill="1" applyBorder="1" applyAlignment="1"/>
    <xf numFmtId="173" fontId="0" fillId="2" borderId="19" xfId="1" applyNumberFormat="1" applyFont="1" applyFill="1" applyBorder="1" applyAlignment="1"/>
    <xf numFmtId="173" fontId="0" fillId="2" borderId="32" xfId="1" applyNumberFormat="1" applyFont="1" applyFill="1" applyBorder="1"/>
    <xf numFmtId="0" fontId="1" fillId="3" borderId="25" xfId="0" applyFont="1" applyFill="1" applyBorder="1" applyAlignment="1">
      <alignment horizontal="center" vertical="center"/>
    </xf>
    <xf numFmtId="173" fontId="0" fillId="2" borderId="84" xfId="1" applyNumberFormat="1" applyFont="1" applyFill="1" applyBorder="1" applyAlignment="1">
      <alignment vertical="center"/>
    </xf>
    <xf numFmtId="173" fontId="0" fillId="2" borderId="28" xfId="1" applyNumberFormat="1" applyFont="1" applyFill="1" applyBorder="1" applyAlignment="1"/>
    <xf numFmtId="173" fontId="0" fillId="2" borderId="38" xfId="1" applyNumberFormat="1" applyFont="1" applyFill="1" applyBorder="1" applyAlignment="1"/>
    <xf numFmtId="173" fontId="0" fillId="2" borderId="30" xfId="1" applyNumberFormat="1" applyFont="1" applyFill="1" applyBorder="1"/>
    <xf numFmtId="0" fontId="1" fillId="3" borderId="43" xfId="0" applyFont="1" applyFill="1" applyBorder="1" applyAlignment="1">
      <alignment horizontal="center" wrapText="1"/>
    </xf>
    <xf numFmtId="164" fontId="0" fillId="2" borderId="32" xfId="0" applyNumberFormat="1" applyFill="1" applyBorder="1"/>
    <xf numFmtId="0" fontId="4" fillId="2" borderId="0" xfId="0" applyFont="1" applyFill="1" applyAlignment="1">
      <alignment horizontal="right" vertical="center" wrapText="1"/>
    </xf>
    <xf numFmtId="0" fontId="0" fillId="2" borderId="47" xfId="0" applyFill="1" applyBorder="1" applyAlignment="1">
      <alignment horizontal="center" vertical="center"/>
    </xf>
    <xf numFmtId="49" fontId="29" fillId="2" borderId="7" xfId="1" applyNumberFormat="1" applyFont="1" applyFill="1" applyBorder="1" applyAlignment="1" applyProtection="1">
      <alignment horizontal="left"/>
    </xf>
    <xf numFmtId="164" fontId="18" fillId="0" borderId="7" xfId="1" applyNumberFormat="1" applyFont="1" applyFill="1" applyBorder="1" applyAlignment="1" applyProtection="1">
      <alignment horizontal="center" vertical="center"/>
    </xf>
    <xf numFmtId="164" fontId="0" fillId="0" borderId="7" xfId="1" applyNumberFormat="1" applyFont="1" applyFill="1" applyBorder="1" applyProtection="1"/>
    <xf numFmtId="49" fontId="3" fillId="0" borderId="73" xfId="1" applyNumberFormat="1" applyFont="1" applyFill="1" applyBorder="1" applyAlignment="1" applyProtection="1">
      <alignment vertical="center" wrapText="1"/>
    </xf>
    <xf numFmtId="164" fontId="3" fillId="0" borderId="73" xfId="1" applyNumberFormat="1" applyFont="1" applyFill="1" applyBorder="1" applyAlignment="1" applyProtection="1">
      <alignment horizontal="center" vertical="center" wrapText="1"/>
    </xf>
    <xf numFmtId="164" fontId="3" fillId="2" borderId="73" xfId="1" applyNumberFormat="1" applyFont="1" applyFill="1" applyBorder="1" applyAlignment="1" applyProtection="1">
      <alignment horizontal="center" vertical="center" wrapText="1"/>
    </xf>
    <xf numFmtId="0" fontId="3" fillId="2" borderId="73" xfId="1" applyNumberFormat="1" applyFont="1" applyFill="1" applyBorder="1" applyAlignment="1" applyProtection="1">
      <alignment horizontal="center" vertical="center" wrapText="1"/>
    </xf>
    <xf numFmtId="49" fontId="6" fillId="0" borderId="73" xfId="1" applyNumberFormat="1" applyFont="1" applyFill="1" applyBorder="1" applyAlignment="1" applyProtection="1">
      <alignment horizontal="center" vertical="center" wrapText="1"/>
    </xf>
    <xf numFmtId="0" fontId="3" fillId="0" borderId="94" xfId="1" applyNumberFormat="1" applyFont="1" applyFill="1" applyBorder="1" applyAlignment="1" applyProtection="1">
      <alignment horizontal="center" vertical="center" wrapText="1"/>
    </xf>
    <xf numFmtId="164" fontId="4" fillId="0" borderId="88" xfId="1" applyNumberFormat="1" applyFont="1" applyFill="1" applyBorder="1" applyAlignment="1" applyProtection="1">
      <alignment horizontal="center" vertical="center" wrapText="1"/>
    </xf>
    <xf numFmtId="164" fontId="3" fillId="0" borderId="88" xfId="1" applyNumberFormat="1" applyFont="1" applyFill="1" applyBorder="1" applyAlignment="1" applyProtection="1">
      <alignment horizontal="center" vertical="center" wrapText="1"/>
    </xf>
    <xf numFmtId="49" fontId="4" fillId="2" borderId="8" xfId="1" applyNumberFormat="1" applyFont="1" applyFill="1" applyBorder="1" applyAlignment="1" applyProtection="1">
      <alignment vertical="center" wrapText="1"/>
    </xf>
    <xf numFmtId="181" fontId="4" fillId="0" borderId="1" xfId="1" applyNumberFormat="1" applyFont="1" applyFill="1" applyBorder="1" applyAlignment="1" applyProtection="1">
      <alignment horizontal="right" vertical="center" wrapText="1"/>
    </xf>
    <xf numFmtId="166" fontId="4" fillId="2" borderId="8" xfId="1" applyNumberFormat="1" applyFont="1" applyFill="1" applyBorder="1" applyAlignment="1" applyProtection="1">
      <alignment horizontal="right" vertical="center" wrapText="1"/>
    </xf>
    <xf numFmtId="167" fontId="4" fillId="0" borderId="6" xfId="0" applyNumberFormat="1" applyFont="1" applyBorder="1" applyAlignment="1">
      <alignment vertical="center"/>
    </xf>
    <xf numFmtId="49" fontId="4" fillId="0" borderId="67" xfId="1" applyNumberFormat="1" applyFont="1" applyFill="1" applyBorder="1" applyAlignment="1" applyProtection="1">
      <alignment horizontal="left" vertical="top" wrapText="1"/>
    </xf>
    <xf numFmtId="0" fontId="4" fillId="0" borderId="67" xfId="0" applyFont="1" applyBorder="1" applyAlignment="1">
      <alignment horizontal="center" vertical="center" wrapText="1"/>
    </xf>
    <xf numFmtId="49" fontId="4" fillId="0" borderId="67" xfId="0" applyNumberFormat="1" applyFont="1" applyBorder="1" applyAlignment="1">
      <alignment horizontal="left" vertical="center"/>
    </xf>
    <xf numFmtId="49" fontId="4" fillId="2" borderId="1" xfId="1" applyNumberFormat="1" applyFont="1" applyFill="1" applyBorder="1" applyAlignment="1" applyProtection="1">
      <alignment vertical="center" wrapText="1"/>
    </xf>
    <xf numFmtId="166" fontId="4" fillId="2" borderId="1" xfId="1" applyNumberFormat="1" applyFont="1" applyFill="1" applyBorder="1" applyAlignment="1" applyProtection="1">
      <alignment horizontal="right" vertical="center" wrapText="1"/>
    </xf>
    <xf numFmtId="49" fontId="4" fillId="0" borderId="62" xfId="1" applyNumberFormat="1" applyFont="1" applyFill="1" applyBorder="1" applyAlignment="1" applyProtection="1">
      <alignment horizontal="left" vertical="top" wrapText="1"/>
    </xf>
    <xf numFmtId="0" fontId="4" fillId="0" borderId="62" xfId="0" applyFont="1" applyBorder="1" applyAlignment="1">
      <alignment horizontal="center" vertical="center" wrapText="1"/>
    </xf>
    <xf numFmtId="49" fontId="4" fillId="0" borderId="62" xfId="0" applyNumberFormat="1" applyFont="1" applyBorder="1" applyAlignment="1">
      <alignment horizontal="left" vertical="center"/>
    </xf>
    <xf numFmtId="1" fontId="4" fillId="0" borderId="1" xfId="1" applyNumberFormat="1" applyFont="1" applyFill="1" applyBorder="1" applyAlignment="1" applyProtection="1">
      <alignment horizontal="centerContinuous" vertical="center" wrapText="1"/>
    </xf>
    <xf numFmtId="164" fontId="4" fillId="0" borderId="1" xfId="1" applyNumberFormat="1" applyFont="1" applyFill="1" applyBorder="1" applyAlignment="1" applyProtection="1">
      <alignment horizontal="centerContinuous" vertical="center"/>
    </xf>
    <xf numFmtId="164" fontId="4" fillId="0" borderId="62" xfId="1" applyNumberFormat="1" applyFont="1" applyFill="1" applyBorder="1" applyAlignment="1" applyProtection="1">
      <alignment horizontal="center" vertical="center" wrapText="1"/>
    </xf>
    <xf numFmtId="49" fontId="4" fillId="0" borderId="62" xfId="1" applyNumberFormat="1" applyFont="1" applyFill="1" applyBorder="1" applyAlignment="1" applyProtection="1">
      <alignment horizontal="left" vertical="center"/>
    </xf>
    <xf numFmtId="0" fontId="4" fillId="2" borderId="1" xfId="1" applyNumberFormat="1" applyFont="1" applyFill="1" applyBorder="1" applyAlignment="1" applyProtection="1">
      <alignment horizontal="left" vertical="center" wrapText="1"/>
    </xf>
    <xf numFmtId="189" fontId="4" fillId="0" borderId="1" xfId="1" applyNumberFormat="1" applyFont="1" applyFill="1" applyBorder="1" applyAlignment="1" applyProtection="1">
      <alignment horizontal="right" vertical="center" wrapText="1"/>
    </xf>
    <xf numFmtId="167" fontId="4" fillId="2" borderId="6" xfId="0" applyNumberFormat="1" applyFont="1" applyFill="1" applyBorder="1" applyAlignment="1">
      <alignment vertical="center"/>
    </xf>
    <xf numFmtId="49" fontId="4" fillId="0" borderId="62" xfId="1" applyNumberFormat="1" applyFont="1" applyFill="1" applyBorder="1" applyAlignment="1" applyProtection="1">
      <alignment horizontal="left" vertical="center" wrapText="1"/>
    </xf>
    <xf numFmtId="49" fontId="28" fillId="2" borderId="62" xfId="1" applyNumberFormat="1" applyFont="1" applyFill="1" applyBorder="1" applyAlignment="1" applyProtection="1">
      <alignment horizontal="left" vertical="center"/>
    </xf>
    <xf numFmtId="49" fontId="7" fillId="0" borderId="62" xfId="1" applyNumberFormat="1" applyFont="1" applyFill="1" applyBorder="1" applyAlignment="1" applyProtection="1">
      <alignment horizontal="left" vertical="center" wrapText="1"/>
    </xf>
    <xf numFmtId="49" fontId="4" fillId="0" borderId="1" xfId="1" applyNumberFormat="1" applyFont="1" applyFill="1" applyBorder="1" applyAlignment="1" applyProtection="1">
      <alignment vertical="center" wrapText="1"/>
    </xf>
    <xf numFmtId="2" fontId="4" fillId="0" borderId="1" xfId="1" applyNumberFormat="1" applyFont="1" applyFill="1" applyBorder="1" applyAlignment="1" applyProtection="1">
      <alignment horizontal="centerContinuous" vertical="center" wrapText="1"/>
    </xf>
    <xf numFmtId="164" fontId="4" fillId="0" borderId="3" xfId="1" applyNumberFormat="1" applyFont="1" applyFill="1" applyBorder="1" applyAlignment="1" applyProtection="1">
      <alignment horizontal="centerContinuous" vertical="center" wrapText="1"/>
    </xf>
    <xf numFmtId="1" fontId="20" fillId="0" borderId="1" xfId="1" applyNumberFormat="1" applyFont="1" applyFill="1" applyBorder="1" applyAlignment="1" applyProtection="1">
      <alignment horizontal="centerContinuous" vertical="center" wrapText="1"/>
    </xf>
    <xf numFmtId="2" fontId="19" fillId="0" borderId="1" xfId="1" applyNumberFormat="1" applyFont="1" applyFill="1" applyBorder="1" applyAlignment="1" applyProtection="1">
      <alignment horizontal="centerContinuous" vertical="center" wrapText="1"/>
    </xf>
    <xf numFmtId="49" fontId="5" fillId="0" borderId="1" xfId="1" applyNumberFormat="1" applyFont="1" applyFill="1" applyBorder="1" applyAlignment="1" applyProtection="1">
      <alignment vertical="center" wrapText="1"/>
    </xf>
    <xf numFmtId="164" fontId="4" fillId="0" borderId="1" xfId="1" applyNumberFormat="1" applyFont="1" applyFill="1" applyBorder="1" applyAlignment="1" applyProtection="1">
      <alignment horizontal="center" vertical="center" wrapText="1"/>
    </xf>
    <xf numFmtId="166" fontId="4" fillId="0" borderId="1" xfId="1" applyNumberFormat="1" applyFont="1" applyFill="1" applyBorder="1" applyAlignment="1" applyProtection="1">
      <alignment horizontal="right" vertical="center" wrapText="1"/>
    </xf>
    <xf numFmtId="164" fontId="4" fillId="0" borderId="1" xfId="1" applyNumberFormat="1" applyFont="1" applyFill="1" applyBorder="1" applyAlignment="1" applyProtection="1">
      <alignment horizontal="centerContinuous" vertical="center" wrapText="1"/>
    </xf>
    <xf numFmtId="49" fontId="5" fillId="2" borderId="1" xfId="1" applyNumberFormat="1" applyFont="1" applyFill="1" applyBorder="1" applyAlignment="1" applyProtection="1">
      <alignment vertical="center" wrapText="1"/>
    </xf>
    <xf numFmtId="184" fontId="5" fillId="0" borderId="1" xfId="1" applyNumberFormat="1" applyFont="1" applyFill="1" applyBorder="1" applyAlignment="1" applyProtection="1">
      <alignment horizontal="right" vertical="center" wrapText="1"/>
    </xf>
    <xf numFmtId="49" fontId="5" fillId="0" borderId="62" xfId="1" applyNumberFormat="1" applyFont="1" applyFill="1" applyBorder="1" applyAlignment="1" applyProtection="1">
      <alignment horizontal="left" vertical="center" wrapText="1"/>
    </xf>
    <xf numFmtId="0" fontId="5" fillId="2" borderId="1" xfId="1" applyNumberFormat="1" applyFont="1" applyFill="1" applyBorder="1" applyAlignment="1" applyProtection="1">
      <alignment horizontal="left" vertical="center" wrapText="1"/>
    </xf>
    <xf numFmtId="166" fontId="4" fillId="0" borderId="1" xfId="1" applyNumberFormat="1" applyFont="1" applyFill="1" applyBorder="1" applyAlignment="1" applyProtection="1">
      <alignment horizontal="centerContinuous" vertical="center" wrapText="1"/>
    </xf>
    <xf numFmtId="43" fontId="4" fillId="0" borderId="1" xfId="1" applyFont="1" applyFill="1" applyBorder="1" applyAlignment="1" applyProtection="1">
      <alignment horizontal="centerContinuous" vertical="center" wrapText="1"/>
    </xf>
    <xf numFmtId="167" fontId="4" fillId="0" borderId="18" xfId="0" applyNumberFormat="1" applyFont="1" applyBorder="1" applyAlignment="1">
      <alignment vertical="center"/>
    </xf>
    <xf numFmtId="49" fontId="4" fillId="0" borderId="64" xfId="1" applyNumberFormat="1" applyFont="1" applyFill="1" applyBorder="1" applyAlignment="1" applyProtection="1">
      <alignment horizontal="left" vertical="top" wrapText="1"/>
    </xf>
    <xf numFmtId="164" fontId="4" fillId="0" borderId="64" xfId="1" applyNumberFormat="1" applyFont="1" applyFill="1" applyBorder="1" applyAlignment="1" applyProtection="1">
      <alignment horizontal="center" vertical="center" wrapText="1"/>
    </xf>
    <xf numFmtId="49" fontId="5" fillId="2" borderId="12" xfId="1" applyNumberFormat="1" applyFont="1" applyFill="1" applyBorder="1" applyAlignment="1" applyProtection="1">
      <alignment vertical="center" wrapText="1"/>
    </xf>
    <xf numFmtId="1" fontId="4" fillId="0" borderId="12" xfId="1" applyNumberFormat="1" applyFont="1" applyFill="1" applyBorder="1" applyAlignment="1" applyProtection="1">
      <alignment horizontal="centerContinuous" vertical="center" wrapText="1"/>
    </xf>
    <xf numFmtId="164" fontId="4" fillId="0" borderId="12" xfId="1" applyNumberFormat="1" applyFont="1" applyFill="1" applyBorder="1" applyAlignment="1" applyProtection="1">
      <alignment horizontal="centerContinuous" vertical="center" wrapText="1"/>
    </xf>
    <xf numFmtId="164" fontId="4" fillId="0" borderId="65" xfId="1" applyNumberFormat="1" applyFont="1" applyFill="1" applyBorder="1" applyAlignment="1" applyProtection="1">
      <alignment horizontal="centerContinuous" vertical="center" wrapText="1"/>
    </xf>
    <xf numFmtId="167" fontId="4" fillId="0" borderId="65" xfId="0" applyNumberFormat="1" applyFont="1" applyBorder="1" applyAlignment="1">
      <alignment vertical="center"/>
    </xf>
    <xf numFmtId="49" fontId="4" fillId="0" borderId="63" xfId="1" applyNumberFormat="1" applyFont="1" applyFill="1" applyBorder="1" applyAlignment="1" applyProtection="1">
      <alignment horizontal="left" vertical="top" wrapText="1"/>
    </xf>
    <xf numFmtId="164" fontId="4" fillId="0" borderId="63" xfId="1" applyNumberFormat="1" applyFont="1" applyFill="1" applyBorder="1" applyAlignment="1" applyProtection="1">
      <alignment horizontal="center" vertical="center" wrapText="1"/>
    </xf>
    <xf numFmtId="49" fontId="4" fillId="0" borderId="63" xfId="1" applyNumberFormat="1" applyFont="1" applyFill="1" applyBorder="1" applyAlignment="1" applyProtection="1">
      <alignment horizontal="left" vertical="center"/>
    </xf>
    <xf numFmtId="164" fontId="3" fillId="2" borderId="11" xfId="1" applyNumberFormat="1" applyFont="1" applyFill="1" applyBorder="1" applyAlignment="1" applyProtection="1">
      <alignment horizontal="right" vertical="center" wrapText="1"/>
    </xf>
    <xf numFmtId="164" fontId="3" fillId="2" borderId="7" xfId="1" applyNumberFormat="1" applyFont="1" applyFill="1" applyBorder="1" applyAlignment="1" applyProtection="1">
      <alignment horizontal="center" vertical="center"/>
    </xf>
    <xf numFmtId="164" fontId="3" fillId="2" borderId="10" xfId="1" applyNumberFormat="1" applyFont="1" applyFill="1" applyBorder="1" applyAlignment="1" applyProtection="1">
      <alignment horizontal="center" vertical="center"/>
    </xf>
    <xf numFmtId="1" fontId="3" fillId="2" borderId="6" xfId="1" applyNumberFormat="1" applyFont="1" applyFill="1" applyBorder="1" applyAlignment="1" applyProtection="1">
      <alignment horizontal="right" vertical="center" wrapText="1"/>
    </xf>
    <xf numFmtId="164" fontId="3" fillId="2" borderId="7" xfId="1" applyNumberFormat="1" applyFont="1" applyFill="1" applyBorder="1" applyAlignment="1" applyProtection="1">
      <alignment horizontal="center" vertical="center" wrapText="1"/>
    </xf>
    <xf numFmtId="164" fontId="3" fillId="2" borderId="8" xfId="1" applyNumberFormat="1" applyFont="1" applyFill="1" applyBorder="1" applyAlignment="1" applyProtection="1">
      <alignment horizontal="center" vertical="center"/>
    </xf>
    <xf numFmtId="49" fontId="4" fillId="0" borderId="0" xfId="1" applyNumberFormat="1" applyFont="1" applyFill="1" applyAlignment="1" applyProtection="1">
      <alignment horizontal="left" vertical="top" wrapText="1"/>
    </xf>
    <xf numFmtId="164" fontId="4" fillId="2" borderId="0" xfId="1" applyNumberFormat="1" applyFont="1" applyFill="1" applyAlignment="1" applyProtection="1">
      <alignment horizontal="center" vertical="center" wrapText="1"/>
    </xf>
    <xf numFmtId="0" fontId="0" fillId="0" borderId="0" xfId="0" applyProtection="1">
      <protection locked="0"/>
    </xf>
    <xf numFmtId="164" fontId="1" fillId="0" borderId="0" xfId="1" applyNumberFormat="1" applyFont="1" applyFill="1" applyProtection="1">
      <protection locked="0"/>
    </xf>
    <xf numFmtId="164" fontId="4" fillId="0" borderId="0" xfId="1" applyNumberFormat="1" applyFont="1" applyFill="1" applyAlignment="1" applyProtection="1">
      <alignment horizontal="center" vertical="center"/>
      <protection locked="0"/>
    </xf>
    <xf numFmtId="164" fontId="0" fillId="0" borderId="0" xfId="1" applyNumberFormat="1" applyFont="1" applyFill="1" applyAlignment="1" applyProtection="1">
      <alignment horizontal="center" vertical="center" wrapText="1"/>
      <protection locked="0"/>
    </xf>
    <xf numFmtId="164" fontId="0" fillId="0" borderId="0" xfId="1" applyNumberFormat="1" applyFont="1" applyFill="1" applyProtection="1">
      <protection locked="0"/>
    </xf>
    <xf numFmtId="164" fontId="0" fillId="0" borderId="0" xfId="1" applyNumberFormat="1" applyFont="1" applyFill="1" applyAlignment="1" applyProtection="1">
      <alignment horizontal="right"/>
      <protection locked="0"/>
    </xf>
    <xf numFmtId="168" fontId="4" fillId="0" borderId="0" xfId="3" applyNumberFormat="1" applyFont="1" applyFill="1" applyProtection="1">
      <protection locked="0"/>
    </xf>
    <xf numFmtId="164" fontId="0" fillId="0" borderId="0" xfId="1" applyNumberFormat="1" applyFont="1" applyFill="1" applyAlignment="1" applyProtection="1">
      <alignment horizontal="center" wrapText="1"/>
      <protection locked="0"/>
    </xf>
    <xf numFmtId="164" fontId="0" fillId="0" borderId="0" xfId="1" applyNumberFormat="1" applyFont="1" applyFill="1" applyAlignment="1" applyProtection="1">
      <alignment horizontal="center"/>
      <protection locked="0"/>
    </xf>
    <xf numFmtId="164" fontId="18" fillId="0" borderId="0" xfId="1" applyNumberFormat="1" applyFont="1" applyFill="1" applyAlignment="1" applyProtection="1">
      <alignment horizontal="center" vertical="center"/>
      <protection locked="0"/>
    </xf>
    <xf numFmtId="164" fontId="4" fillId="4" borderId="71" xfId="1" applyNumberFormat="1" applyFont="1" applyFill="1" applyBorder="1" applyAlignment="1" applyProtection="1">
      <alignment horizontal="center" vertical="center" wrapText="1"/>
      <protection locked="0"/>
    </xf>
    <xf numFmtId="0" fontId="4" fillId="5" borderId="12" xfId="1" applyNumberFormat="1" applyFont="1" applyFill="1" applyBorder="1" applyAlignment="1" applyProtection="1">
      <alignment vertical="top" wrapText="1"/>
      <protection locked="0"/>
    </xf>
    <xf numFmtId="164" fontId="4" fillId="0" borderId="8" xfId="1" applyNumberFormat="1" applyFont="1" applyFill="1" applyBorder="1" applyAlignment="1" applyProtection="1">
      <alignment horizontal="center" vertical="center" wrapText="1"/>
      <protection locked="0"/>
    </xf>
    <xf numFmtId="164" fontId="4" fillId="2"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164" fontId="12" fillId="2" borderId="1" xfId="1" applyNumberFormat="1" applyFont="1" applyFill="1" applyBorder="1" applyAlignment="1" applyProtection="1">
      <alignment horizontal="center" vertical="center" wrapText="1"/>
      <protection locked="0"/>
    </xf>
    <xf numFmtId="164" fontId="4" fillId="5" borderId="1" xfId="1" applyNumberFormat="1" applyFont="1" applyFill="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164" fontId="4" fillId="2" borderId="3" xfId="1" applyNumberFormat="1" applyFont="1" applyFill="1" applyBorder="1" applyAlignment="1" applyProtection="1">
      <alignment horizontal="center" vertical="center" wrapText="1"/>
      <protection locked="0"/>
    </xf>
    <xf numFmtId="164" fontId="4" fillId="5" borderId="3" xfId="1" applyNumberFormat="1" applyFont="1" applyFill="1" applyBorder="1" applyAlignment="1" applyProtection="1">
      <alignment horizontal="center" vertical="center" wrapText="1"/>
      <protection locked="0"/>
    </xf>
    <xf numFmtId="164" fontId="4" fillId="11" borderId="0" xfId="1" applyNumberFormat="1" applyFont="1" applyFill="1" applyAlignment="1" applyProtection="1">
      <alignment horizontal="center" vertical="center"/>
      <protection locked="0"/>
    </xf>
    <xf numFmtId="164" fontId="5" fillId="2" borderId="1" xfId="1" applyNumberFormat="1"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164" fontId="5" fillId="0" borderId="1" xfId="1" applyNumberFormat="1" applyFont="1" applyFill="1" applyBorder="1" applyAlignment="1" applyProtection="1">
      <alignment horizontal="center" vertical="center"/>
      <protection locked="0"/>
    </xf>
    <xf numFmtId="164" fontId="12" fillId="2" borderId="1" xfId="1" applyNumberFormat="1" applyFont="1" applyFill="1" applyBorder="1" applyAlignment="1" applyProtection="1">
      <alignment horizontal="center" vertical="center"/>
      <protection locked="0"/>
    </xf>
    <xf numFmtId="164" fontId="4" fillId="2" borderId="12" xfId="1" applyNumberFormat="1" applyFont="1" applyFill="1" applyBorder="1" applyAlignment="1" applyProtection="1">
      <alignment horizontal="center" vertical="center" wrapText="1"/>
      <protection locked="0"/>
    </xf>
    <xf numFmtId="49" fontId="7" fillId="0" borderId="0" xfId="1" applyNumberFormat="1" applyFont="1" applyFill="1" applyAlignment="1" applyProtection="1">
      <alignment horizontal="center" vertical="center" wrapText="1"/>
      <protection locked="0"/>
    </xf>
    <xf numFmtId="49" fontId="4" fillId="0" borderId="0" xfId="1" applyNumberFormat="1" applyFont="1" applyFill="1" applyAlignment="1" applyProtection="1">
      <alignment horizontal="center" vertical="top" wrapText="1"/>
      <protection locked="0"/>
    </xf>
    <xf numFmtId="49" fontId="7" fillId="0" borderId="0" xfId="1" applyNumberFormat="1" applyFont="1" applyFill="1" applyAlignment="1" applyProtection="1">
      <alignment horizontal="center" vertical="top" wrapText="1"/>
      <protection locked="0"/>
    </xf>
    <xf numFmtId="49" fontId="19" fillId="0" borderId="0" xfId="1" applyNumberFormat="1" applyFont="1" applyFill="1" applyAlignment="1" applyProtection="1">
      <alignment horizontal="center" vertical="center" wrapText="1"/>
      <protection locked="0"/>
    </xf>
    <xf numFmtId="49" fontId="19" fillId="0" borderId="0" xfId="1" applyNumberFormat="1" applyFont="1" applyFill="1" applyAlignment="1" applyProtection="1">
      <alignment horizontal="center" vertical="top" wrapText="1"/>
      <protection locked="0"/>
    </xf>
    <xf numFmtId="49" fontId="3" fillId="0" borderId="0" xfId="1" applyNumberFormat="1" applyFont="1" applyFill="1" applyAlignment="1" applyProtection="1">
      <alignment horizontal="center" vertical="center" wrapText="1"/>
      <protection locked="0"/>
    </xf>
    <xf numFmtId="49" fontId="4" fillId="0" borderId="0" xfId="1" applyNumberFormat="1" applyFont="1" applyFill="1" applyBorder="1" applyAlignment="1" applyProtection="1">
      <alignment horizontal="center" vertical="top" wrapText="1"/>
      <protection locked="0"/>
    </xf>
    <xf numFmtId="164" fontId="4" fillId="0" borderId="0" xfId="1" applyNumberFormat="1" applyFont="1" applyFill="1" applyAlignment="1" applyProtection="1">
      <alignment horizontal="center" vertical="center" wrapText="1"/>
      <protection locked="0"/>
    </xf>
    <xf numFmtId="164" fontId="0" fillId="0" borderId="0" xfId="1" applyNumberFormat="1" applyFont="1" applyFill="1" applyAlignment="1" applyProtection="1">
      <protection locked="0"/>
    </xf>
    <xf numFmtId="164" fontId="4" fillId="0" borderId="0" xfId="1" applyNumberFormat="1" applyFont="1" applyFill="1" applyProtection="1">
      <protection locked="0"/>
    </xf>
    <xf numFmtId="0" fontId="5" fillId="5" borderId="66" xfId="1" applyNumberFormat="1" applyFont="1" applyFill="1" applyBorder="1" applyAlignment="1" applyProtection="1">
      <alignment vertical="top" wrapText="1"/>
      <protection locked="0"/>
    </xf>
    <xf numFmtId="164" fontId="4" fillId="0" borderId="67" xfId="1" applyNumberFormat="1" applyFont="1" applyFill="1" applyBorder="1" applyAlignment="1" applyProtection="1">
      <alignment horizontal="center"/>
      <protection locked="0"/>
    </xf>
    <xf numFmtId="164" fontId="4" fillId="0" borderId="75" xfId="1" applyNumberFormat="1" applyFont="1" applyFill="1" applyBorder="1" applyAlignment="1" applyProtection="1">
      <alignment horizontal="center" vertical="center"/>
      <protection locked="0"/>
    </xf>
    <xf numFmtId="164" fontId="4" fillId="0" borderId="62" xfId="1" applyNumberFormat="1" applyFont="1" applyFill="1" applyBorder="1" applyAlignment="1" applyProtection="1">
      <alignment horizontal="center" vertical="center"/>
      <protection locked="0"/>
    </xf>
    <xf numFmtId="164" fontId="4" fillId="0" borderId="76" xfId="1" applyNumberFormat="1" applyFont="1" applyFill="1" applyBorder="1" applyAlignment="1" applyProtection="1">
      <alignment horizontal="center" vertical="center"/>
      <protection locked="0"/>
    </xf>
    <xf numFmtId="164" fontId="4" fillId="0" borderId="64" xfId="1" applyNumberFormat="1" applyFont="1" applyFill="1" applyBorder="1" applyAlignment="1" applyProtection="1">
      <alignment horizontal="center"/>
      <protection locked="0"/>
    </xf>
    <xf numFmtId="164" fontId="4" fillId="0" borderId="77" xfId="1" applyNumberFormat="1" applyFont="1" applyFill="1" applyBorder="1" applyAlignment="1" applyProtection="1">
      <alignment horizontal="center" vertical="center"/>
      <protection locked="0"/>
    </xf>
    <xf numFmtId="164" fontId="4" fillId="0" borderId="62" xfId="1" applyNumberFormat="1" applyFont="1" applyFill="1" applyBorder="1" applyAlignment="1" applyProtection="1">
      <alignment horizontal="center"/>
      <protection locked="0"/>
    </xf>
    <xf numFmtId="164" fontId="4" fillId="0" borderId="67" xfId="1" applyNumberFormat="1" applyFont="1" applyFill="1" applyBorder="1" applyAlignment="1" applyProtection="1">
      <alignment horizontal="center" vertical="center"/>
      <protection locked="0"/>
    </xf>
    <xf numFmtId="164" fontId="5" fillId="0" borderId="75" xfId="1" applyNumberFormat="1" applyFont="1" applyFill="1" applyBorder="1" applyAlignment="1" applyProtection="1">
      <alignment horizontal="center" vertical="center" wrapText="1"/>
      <protection locked="0"/>
    </xf>
    <xf numFmtId="164" fontId="5" fillId="0" borderId="76" xfId="1" applyNumberFormat="1" applyFont="1" applyFill="1" applyBorder="1" applyAlignment="1" applyProtection="1">
      <alignment horizontal="center" vertical="center" wrapText="1"/>
      <protection locked="0"/>
    </xf>
    <xf numFmtId="164" fontId="4" fillId="0" borderId="76" xfId="1" applyNumberFormat="1" applyFont="1" applyFill="1" applyBorder="1" applyAlignment="1" applyProtection="1">
      <alignment horizontal="center" vertical="center" wrapText="1"/>
      <protection locked="0"/>
    </xf>
    <xf numFmtId="164" fontId="14" fillId="11" borderId="77" xfId="1" applyNumberFormat="1" applyFont="1" applyFill="1" applyBorder="1" applyAlignment="1" applyProtection="1">
      <alignment horizontal="center" vertical="center" wrapText="1"/>
      <protection locked="0"/>
    </xf>
    <xf numFmtId="164" fontId="4" fillId="0" borderId="70" xfId="1" applyNumberFormat="1" applyFont="1" applyFill="1" applyBorder="1" applyAlignment="1" applyProtection="1">
      <alignment horizontal="center" vertical="center"/>
      <protection locked="0"/>
    </xf>
    <xf numFmtId="164" fontId="14" fillId="11" borderId="78" xfId="1" applyNumberFormat="1" applyFont="1" applyFill="1" applyBorder="1" applyAlignment="1" applyProtection="1">
      <alignment horizontal="center" vertical="center" wrapText="1"/>
      <protection locked="0"/>
    </xf>
    <xf numFmtId="164" fontId="4" fillId="0" borderId="0" xfId="1" applyNumberFormat="1" applyFont="1" applyFill="1" applyAlignment="1" applyProtection="1">
      <alignment horizontal="center"/>
      <protection locked="0"/>
    </xf>
    <xf numFmtId="49" fontId="4" fillId="0" borderId="0" xfId="1" applyNumberFormat="1" applyFont="1" applyFill="1" applyAlignment="1" applyProtection="1">
      <alignment vertical="top"/>
      <protection locked="0"/>
    </xf>
    <xf numFmtId="0" fontId="29" fillId="2" borderId="7" xfId="1" applyNumberFormat="1" applyFont="1" applyFill="1" applyBorder="1" applyAlignment="1" applyProtection="1">
      <alignment horizontal="left"/>
    </xf>
    <xf numFmtId="0" fontId="3" fillId="0" borderId="73" xfId="1" applyNumberFormat="1" applyFont="1" applyFill="1" applyBorder="1" applyAlignment="1" applyProtection="1">
      <alignment horizontal="left" vertical="center" wrapText="1"/>
    </xf>
    <xf numFmtId="49" fontId="5" fillId="0" borderId="8" xfId="1" applyNumberFormat="1" applyFont="1" applyFill="1" applyBorder="1" applyAlignment="1" applyProtection="1">
      <alignment vertical="center" wrapText="1"/>
    </xf>
    <xf numFmtId="49" fontId="4" fillId="2" borderId="5" xfId="1" applyNumberFormat="1" applyFont="1" applyFill="1" applyBorder="1" applyAlignment="1" applyProtection="1">
      <alignment vertical="center" wrapText="1"/>
    </xf>
    <xf numFmtId="49" fontId="4" fillId="2" borderId="92" xfId="1" applyNumberFormat="1" applyFont="1" applyFill="1" applyBorder="1" applyAlignment="1" applyProtection="1">
      <alignment vertical="center" wrapText="1"/>
    </xf>
    <xf numFmtId="49" fontId="5" fillId="2" borderId="8"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wrapText="1"/>
    </xf>
    <xf numFmtId="49" fontId="4" fillId="0" borderId="73" xfId="1" applyNumberFormat="1" applyFont="1" applyFill="1" applyBorder="1" applyAlignment="1" applyProtection="1">
      <alignment vertical="center" wrapText="1"/>
    </xf>
    <xf numFmtId="49" fontId="3" fillId="2" borderId="8" xfId="1" applyNumberFormat="1" applyFont="1" applyFill="1" applyBorder="1" applyAlignment="1" applyProtection="1">
      <alignment horizontal="right" vertical="center" wrapText="1"/>
    </xf>
    <xf numFmtId="164" fontId="4" fillId="0" borderId="0" xfId="1" applyNumberFormat="1" applyFont="1" applyFill="1" applyProtection="1"/>
    <xf numFmtId="164" fontId="4" fillId="0" borderId="7" xfId="1" applyNumberFormat="1" applyFont="1" applyFill="1" applyBorder="1" applyAlignment="1">
      <alignment horizontal="center" vertical="center"/>
    </xf>
    <xf numFmtId="164" fontId="4" fillId="2" borderId="0" xfId="1" applyNumberFormat="1" applyFont="1" applyFill="1" applyAlignment="1" applyProtection="1">
      <alignment horizontal="left"/>
      <protection locked="0"/>
    </xf>
    <xf numFmtId="164" fontId="4" fillId="0" borderId="0" xfId="1" applyNumberFormat="1" applyFont="1" applyFill="1" applyAlignment="1" applyProtection="1">
      <alignment horizontal="left"/>
      <protection locked="0"/>
    </xf>
    <xf numFmtId="164" fontId="7" fillId="0" borderId="0" xfId="1" applyNumberFormat="1" applyFont="1" applyFill="1" applyAlignment="1" applyProtection="1">
      <alignment horizontal="left"/>
      <protection locked="0"/>
    </xf>
    <xf numFmtId="164" fontId="4" fillId="2" borderId="0" xfId="1" applyNumberFormat="1" applyFont="1" applyFill="1" applyProtection="1">
      <protection locked="0"/>
    </xf>
    <xf numFmtId="168" fontId="4" fillId="2" borderId="0" xfId="3" applyNumberFormat="1" applyFont="1" applyFill="1" applyProtection="1">
      <protection locked="0"/>
    </xf>
    <xf numFmtId="164" fontId="19" fillId="0" borderId="0" xfId="1" applyNumberFormat="1" applyFont="1" applyFill="1" applyAlignment="1" applyProtection="1">
      <alignment horizontal="center" vertical="center" wrapText="1"/>
      <protection locked="0"/>
    </xf>
    <xf numFmtId="164" fontId="4" fillId="0" borderId="83" xfId="1" applyNumberFormat="1" applyFont="1" applyFill="1" applyBorder="1" applyProtection="1">
      <protection locked="0"/>
    </xf>
    <xf numFmtId="0" fontId="4" fillId="0" borderId="18" xfId="1" applyNumberFormat="1" applyFont="1" applyFill="1" applyBorder="1" applyAlignment="1" applyProtection="1">
      <alignment horizontal="center" vertical="center" wrapText="1"/>
      <protection locked="0"/>
    </xf>
    <xf numFmtId="0" fontId="36" fillId="0" borderId="7" xfId="1" applyNumberFormat="1" applyFont="1" applyFill="1" applyBorder="1" applyAlignment="1" applyProtection="1">
      <alignment wrapText="1"/>
    </xf>
    <xf numFmtId="164" fontId="4" fillId="0" borderId="7" xfId="1" applyNumberFormat="1" applyFont="1" applyFill="1" applyBorder="1" applyProtection="1"/>
    <xf numFmtId="0" fontId="3" fillId="0" borderId="73" xfId="1" applyNumberFormat="1" applyFont="1" applyFill="1" applyBorder="1" applyAlignment="1" applyProtection="1">
      <alignment horizontal="center" vertical="center" wrapText="1"/>
    </xf>
    <xf numFmtId="0" fontId="5" fillId="0" borderId="8" xfId="1" applyNumberFormat="1" applyFont="1" applyFill="1" applyBorder="1" applyAlignment="1" applyProtection="1">
      <alignment vertical="center" wrapText="1"/>
    </xf>
    <xf numFmtId="166" fontId="5" fillId="0" borderId="8" xfId="1" applyNumberFormat="1" applyFont="1" applyFill="1" applyBorder="1" applyAlignment="1" applyProtection="1">
      <alignment horizontal="right" vertical="center" wrapText="1"/>
    </xf>
    <xf numFmtId="164" fontId="5" fillId="0" borderId="8" xfId="1" applyNumberFormat="1" applyFont="1" applyFill="1" applyBorder="1" applyAlignment="1" applyProtection="1">
      <alignment horizontal="center" vertical="center"/>
    </xf>
    <xf numFmtId="164" fontId="5" fillId="0" borderId="8" xfId="1" applyNumberFormat="1" applyFont="1" applyFill="1" applyBorder="1" applyAlignment="1" applyProtection="1">
      <alignment horizontal="center" vertical="center" wrapText="1"/>
    </xf>
    <xf numFmtId="167" fontId="5" fillId="0" borderId="6" xfId="0" applyNumberFormat="1" applyFont="1" applyBorder="1" applyAlignment="1">
      <alignment vertical="center"/>
    </xf>
    <xf numFmtId="49" fontId="5" fillId="0" borderId="67" xfId="1" applyNumberFormat="1" applyFont="1" applyFill="1" applyBorder="1" applyAlignment="1" applyProtection="1">
      <alignment vertical="top" wrapText="1"/>
    </xf>
    <xf numFmtId="49" fontId="5" fillId="0" borderId="67" xfId="1" applyNumberFormat="1" applyFont="1" applyFill="1" applyBorder="1" applyAlignment="1" applyProtection="1">
      <alignment horizontal="center" vertical="center" wrapText="1"/>
    </xf>
    <xf numFmtId="49" fontId="5" fillId="0" borderId="67" xfId="1" applyNumberFormat="1" applyFont="1" applyFill="1" applyBorder="1" applyAlignment="1" applyProtection="1">
      <alignment vertical="center" wrapText="1"/>
    </xf>
    <xf numFmtId="166" fontId="5" fillId="0" borderId="1" xfId="1" applyNumberFormat="1" applyFont="1" applyFill="1" applyBorder="1" applyAlignment="1" applyProtection="1">
      <alignment horizontal="right" vertical="center" wrapText="1"/>
    </xf>
    <xf numFmtId="164" fontId="5" fillId="0" borderId="1" xfId="1" applyNumberFormat="1" applyFont="1" applyFill="1" applyBorder="1" applyAlignment="1" applyProtection="1">
      <alignment horizontal="center" vertical="center"/>
    </xf>
    <xf numFmtId="166" fontId="5" fillId="0" borderId="1" xfId="1" applyNumberFormat="1" applyFont="1" applyFill="1" applyBorder="1" applyAlignment="1" applyProtection="1">
      <alignment horizontal="center" vertical="center" wrapText="1"/>
    </xf>
    <xf numFmtId="164" fontId="5" fillId="0" borderId="1" xfId="1" applyNumberFormat="1" applyFont="1" applyFill="1" applyBorder="1" applyAlignment="1" applyProtection="1">
      <alignment horizontal="center" vertical="center" wrapText="1"/>
    </xf>
    <xf numFmtId="49" fontId="5" fillId="0" borderId="62" xfId="1" applyNumberFormat="1" applyFont="1" applyFill="1" applyBorder="1" applyAlignment="1" applyProtection="1">
      <alignment vertical="top" wrapText="1"/>
    </xf>
    <xf numFmtId="49" fontId="5" fillId="0" borderId="62" xfId="1" applyNumberFormat="1" applyFont="1" applyFill="1" applyBorder="1" applyAlignment="1" applyProtection="1">
      <alignment horizontal="center" vertical="center" wrapText="1"/>
    </xf>
    <xf numFmtId="49" fontId="5" fillId="0" borderId="62" xfId="1" applyNumberFormat="1" applyFont="1" applyFill="1" applyBorder="1" applyAlignment="1" applyProtection="1">
      <alignment vertical="center" wrapText="1"/>
    </xf>
    <xf numFmtId="0" fontId="5" fillId="0" borderId="1" xfId="1" applyNumberFormat="1" applyFont="1" applyFill="1" applyBorder="1" applyAlignment="1" applyProtection="1">
      <alignment vertical="center" wrapText="1"/>
    </xf>
    <xf numFmtId="0" fontId="5" fillId="0" borderId="1" xfId="1" applyNumberFormat="1" applyFont="1" applyFill="1" applyBorder="1" applyAlignment="1" applyProtection="1">
      <alignment horizontal="left" vertical="center" wrapText="1"/>
    </xf>
    <xf numFmtId="164" fontId="5" fillId="0" borderId="1" xfId="1" applyNumberFormat="1" applyFont="1" applyFill="1" applyBorder="1" applyAlignment="1" applyProtection="1">
      <alignment horizontal="right" vertical="center" wrapText="1"/>
    </xf>
    <xf numFmtId="43" fontId="5" fillId="0" borderId="1" xfId="1" applyFont="1" applyFill="1" applyBorder="1" applyAlignment="1" applyProtection="1">
      <alignment horizontal="right" vertical="center" wrapText="1"/>
    </xf>
    <xf numFmtId="164" fontId="5" fillId="0" borderId="1" xfId="1" applyNumberFormat="1" applyFont="1" applyFill="1" applyBorder="1" applyAlignment="1" applyProtection="1">
      <alignment horizontal="centerContinuous" vertical="center" wrapText="1"/>
    </xf>
    <xf numFmtId="49" fontId="28" fillId="0" borderId="62" xfId="1" applyNumberFormat="1" applyFont="1" applyFill="1" applyBorder="1" applyAlignment="1" applyProtection="1">
      <alignment vertical="center" wrapText="1"/>
    </xf>
    <xf numFmtId="164" fontId="5" fillId="2" borderId="1" xfId="1" applyNumberFormat="1" applyFont="1" applyFill="1" applyBorder="1" applyAlignment="1" applyProtection="1">
      <alignment horizontal="center" vertical="center" wrapText="1"/>
    </xf>
    <xf numFmtId="164" fontId="5" fillId="2" borderId="1" xfId="1" applyNumberFormat="1" applyFont="1" applyFill="1" applyBorder="1" applyAlignment="1" applyProtection="1">
      <alignment horizontal="right" vertical="center" wrapText="1"/>
    </xf>
    <xf numFmtId="177" fontId="5" fillId="0" borderId="1" xfId="1" applyNumberFormat="1" applyFont="1" applyFill="1" applyBorder="1" applyAlignment="1" applyProtection="1">
      <alignment horizontal="right" vertical="center" wrapText="1"/>
    </xf>
    <xf numFmtId="166" fontId="5" fillId="0" borderId="1" xfId="1" applyNumberFormat="1" applyFont="1" applyFill="1" applyBorder="1" applyAlignment="1" applyProtection="1">
      <alignment horizontal="centerContinuous" vertical="center" wrapText="1"/>
    </xf>
    <xf numFmtId="43" fontId="5" fillId="0" borderId="1" xfId="1" applyFont="1" applyFill="1" applyBorder="1" applyAlignment="1" applyProtection="1">
      <alignment horizontal="centerContinuous" vertical="center" wrapText="1"/>
    </xf>
    <xf numFmtId="164" fontId="5" fillId="0" borderId="3" xfId="1" applyNumberFormat="1" applyFont="1" applyFill="1" applyBorder="1" applyAlignment="1" applyProtection="1">
      <alignment horizontal="centerContinuous" vertical="center" wrapText="1"/>
    </xf>
    <xf numFmtId="164" fontId="5" fillId="0" borderId="1" xfId="1" applyNumberFormat="1" applyFont="1" applyFill="1" applyBorder="1" applyAlignment="1" applyProtection="1">
      <alignment vertical="center" wrapText="1"/>
    </xf>
    <xf numFmtId="166" fontId="5" fillId="0" borderId="1" xfId="1" applyNumberFormat="1" applyFont="1" applyFill="1" applyBorder="1" applyAlignment="1" applyProtection="1">
      <alignment vertical="center" wrapText="1"/>
    </xf>
    <xf numFmtId="164" fontId="5" fillId="0" borderId="3" xfId="1" applyNumberFormat="1" applyFont="1" applyFill="1" applyBorder="1" applyAlignment="1" applyProtection="1">
      <alignment vertical="center" wrapText="1"/>
    </xf>
    <xf numFmtId="0" fontId="5" fillId="0" borderId="1" xfId="0" applyFont="1" applyBorder="1" applyAlignment="1">
      <alignment vertical="center" wrapText="1"/>
    </xf>
    <xf numFmtId="164" fontId="5" fillId="0" borderId="1" xfId="1" applyNumberFormat="1" applyFont="1" applyFill="1" applyBorder="1" applyAlignment="1" applyProtection="1">
      <alignment horizontal="right" vertical="center"/>
    </xf>
    <xf numFmtId="0" fontId="5" fillId="2" borderId="5" xfId="1" applyNumberFormat="1" applyFont="1" applyFill="1" applyBorder="1" applyAlignment="1" applyProtection="1">
      <alignment horizontal="left" vertical="center" wrapText="1"/>
    </xf>
    <xf numFmtId="164" fontId="5" fillId="0" borderId="5" xfId="1" applyNumberFormat="1" applyFont="1" applyFill="1" applyBorder="1" applyAlignment="1" applyProtection="1">
      <alignment horizontal="right" vertical="center" wrapText="1"/>
    </xf>
    <xf numFmtId="43" fontId="5" fillId="0" borderId="5" xfId="1" applyFont="1" applyFill="1" applyBorder="1" applyAlignment="1" applyProtection="1">
      <alignment horizontal="right" vertical="center" wrapText="1"/>
    </xf>
    <xf numFmtId="164" fontId="5" fillId="0" borderId="5" xfId="1" applyNumberFormat="1" applyFont="1" applyFill="1" applyBorder="1" applyAlignment="1" applyProtection="1">
      <alignment horizontal="center" vertical="center" wrapText="1"/>
    </xf>
    <xf numFmtId="164" fontId="5" fillId="2" borderId="5" xfId="1" applyNumberFormat="1" applyFont="1" applyFill="1" applyBorder="1" applyAlignment="1" applyProtection="1">
      <alignment horizontal="right" vertical="center" wrapText="1"/>
    </xf>
    <xf numFmtId="43" fontId="5" fillId="2" borderId="5" xfId="1" applyFont="1" applyFill="1" applyBorder="1" applyAlignment="1" applyProtection="1">
      <alignment horizontal="right" vertical="center" wrapText="1"/>
    </xf>
    <xf numFmtId="164" fontId="5" fillId="2" borderId="5" xfId="1" applyNumberFormat="1" applyFont="1" applyFill="1" applyBorder="1" applyAlignment="1" applyProtection="1">
      <alignment horizontal="center" vertical="center" wrapText="1"/>
    </xf>
    <xf numFmtId="167" fontId="5" fillId="0" borderId="18" xfId="0" applyNumberFormat="1" applyFont="1" applyBorder="1" applyAlignment="1">
      <alignment vertical="center"/>
    </xf>
    <xf numFmtId="49" fontId="5" fillId="0" borderId="64" xfId="1" applyNumberFormat="1" applyFont="1" applyFill="1" applyBorder="1" applyAlignment="1" applyProtection="1">
      <alignment vertical="top" wrapText="1"/>
    </xf>
    <xf numFmtId="49" fontId="5" fillId="0" borderId="64" xfId="1" applyNumberFormat="1" applyFont="1" applyFill="1" applyBorder="1" applyAlignment="1" applyProtection="1">
      <alignment vertical="center" wrapText="1"/>
    </xf>
    <xf numFmtId="167" fontId="5" fillId="0" borderId="1" xfId="0" applyNumberFormat="1" applyFont="1" applyBorder="1" applyAlignment="1">
      <alignment vertical="center"/>
    </xf>
    <xf numFmtId="49" fontId="5" fillId="0" borderId="1" xfId="1" applyNumberFormat="1" applyFont="1" applyFill="1" applyBorder="1" applyAlignment="1" applyProtection="1">
      <alignment vertical="top" wrapText="1"/>
    </xf>
    <xf numFmtId="164" fontId="5" fillId="2" borderId="1" xfId="1" applyNumberFormat="1" applyFont="1" applyFill="1" applyBorder="1" applyAlignment="1" applyProtection="1">
      <alignment horizontal="centerContinuous" vertical="center" wrapText="1"/>
    </xf>
    <xf numFmtId="167" fontId="5" fillId="2" borderId="1" xfId="0" applyNumberFormat="1" applyFont="1" applyFill="1" applyBorder="1" applyAlignment="1">
      <alignment vertical="center"/>
    </xf>
    <xf numFmtId="49" fontId="5" fillId="2" borderId="1" xfId="1" applyNumberFormat="1" applyFont="1" applyFill="1" applyBorder="1" applyAlignment="1" applyProtection="1">
      <alignment vertical="top" wrapText="1"/>
    </xf>
    <xf numFmtId="0" fontId="5" fillId="2" borderId="1" xfId="1" applyNumberFormat="1" applyFont="1" applyFill="1" applyBorder="1" applyAlignment="1" applyProtection="1">
      <alignment vertical="center" wrapText="1"/>
    </xf>
    <xf numFmtId="0" fontId="5" fillId="2" borderId="12" xfId="1" applyNumberFormat="1" applyFont="1" applyFill="1" applyBorder="1" applyAlignment="1" applyProtection="1">
      <alignment horizontal="left" vertical="center" wrapText="1"/>
    </xf>
    <xf numFmtId="164" fontId="5" fillId="0" borderId="12" xfId="1" applyNumberFormat="1" applyFont="1" applyFill="1" applyBorder="1" applyAlignment="1" applyProtection="1">
      <alignment horizontal="right" vertical="center" wrapText="1"/>
    </xf>
    <xf numFmtId="164" fontId="5" fillId="0" borderId="12" xfId="1" applyNumberFormat="1" applyFont="1" applyFill="1" applyBorder="1" applyAlignment="1" applyProtection="1">
      <alignment horizontal="center" vertical="center" wrapText="1"/>
    </xf>
    <xf numFmtId="164" fontId="5" fillId="0" borderId="66" xfId="1" applyNumberFormat="1" applyFont="1" applyFill="1" applyBorder="1" applyAlignment="1" applyProtection="1">
      <alignment horizontal="center" vertical="center" wrapText="1"/>
    </xf>
    <xf numFmtId="49" fontId="5" fillId="0" borderId="89" xfId="1" applyNumberFormat="1" applyFont="1" applyFill="1" applyBorder="1" applyAlignment="1" applyProtection="1">
      <alignment vertical="top" wrapText="1"/>
    </xf>
    <xf numFmtId="49" fontId="5" fillId="0" borderId="89" xfId="1" applyNumberFormat="1" applyFont="1" applyFill="1" applyBorder="1" applyAlignment="1" applyProtection="1">
      <alignment vertical="center" wrapText="1"/>
    </xf>
    <xf numFmtId="49" fontId="6" fillId="2" borderId="8" xfId="1" applyNumberFormat="1" applyFont="1" applyFill="1" applyBorder="1" applyAlignment="1" applyProtection="1">
      <alignment horizontal="right" vertical="top" wrapText="1"/>
    </xf>
    <xf numFmtId="164" fontId="6" fillId="2" borderId="8" xfId="1" applyNumberFormat="1" applyFont="1" applyFill="1" applyBorder="1" applyAlignment="1" applyProtection="1">
      <alignment horizontal="right" vertical="center" wrapText="1"/>
    </xf>
    <xf numFmtId="164" fontId="6" fillId="2" borderId="13" xfId="1" applyNumberFormat="1" applyFont="1" applyFill="1" applyBorder="1" applyAlignment="1" applyProtection="1">
      <alignment horizontal="right" vertical="center" wrapText="1"/>
    </xf>
    <xf numFmtId="164" fontId="6" fillId="2" borderId="7" xfId="1" applyNumberFormat="1" applyFont="1" applyFill="1" applyBorder="1" applyAlignment="1" applyProtection="1">
      <alignment horizontal="right" vertical="center" wrapText="1"/>
    </xf>
    <xf numFmtId="164" fontId="6" fillId="2" borderId="90" xfId="1" applyNumberFormat="1" applyFont="1" applyFill="1" applyBorder="1" applyAlignment="1" applyProtection="1">
      <alignment horizontal="right" vertical="center" wrapText="1"/>
    </xf>
    <xf numFmtId="164" fontId="5" fillId="0" borderId="0" xfId="1" applyNumberFormat="1" applyFont="1" applyFill="1" applyProtection="1"/>
    <xf numFmtId="0" fontId="0" fillId="0" borderId="0" xfId="0" applyAlignment="1" applyProtection="1">
      <alignment vertical="center"/>
      <protection locked="0"/>
    </xf>
    <xf numFmtId="0" fontId="4" fillId="0" borderId="0" xfId="0" applyFont="1" applyProtection="1">
      <protection locked="0"/>
    </xf>
    <xf numFmtId="0" fontId="7" fillId="0" borderId="0" xfId="0" applyFont="1" applyProtection="1">
      <protection locked="0"/>
    </xf>
    <xf numFmtId="168" fontId="4" fillId="0" borderId="0" xfId="3" applyNumberFormat="1" applyFont="1" applyFill="1" applyBorder="1" applyAlignment="1" applyProtection="1">
      <alignment vertical="center"/>
      <protection locked="0"/>
    </xf>
    <xf numFmtId="0" fontId="36" fillId="2" borderId="7" xfId="1" applyNumberFormat="1" applyFont="1" applyFill="1" applyBorder="1" applyAlignment="1" applyProtection="1">
      <alignment wrapText="1"/>
    </xf>
    <xf numFmtId="0" fontId="3" fillId="2" borderId="7" xfId="1" applyNumberFormat="1" applyFont="1" applyFill="1" applyBorder="1" applyAlignment="1" applyProtection="1"/>
    <xf numFmtId="0" fontId="3" fillId="0" borderId="7" xfId="1" applyNumberFormat="1" applyFont="1" applyFill="1" applyBorder="1" applyAlignment="1" applyProtection="1"/>
    <xf numFmtId="0" fontId="3" fillId="2" borderId="73" xfId="1" applyNumberFormat="1" applyFont="1" applyFill="1" applyBorder="1" applyAlignment="1" applyProtection="1">
      <alignment horizontal="left" vertical="center" wrapText="1"/>
    </xf>
    <xf numFmtId="0" fontId="3" fillId="2" borderId="94" xfId="1" applyNumberFormat="1" applyFont="1" applyFill="1" applyBorder="1" applyAlignment="1" applyProtection="1">
      <alignment horizontal="center" vertical="center" wrapText="1"/>
    </xf>
    <xf numFmtId="0" fontId="5" fillId="0" borderId="8" xfId="1" applyNumberFormat="1" applyFont="1" applyFill="1" applyBorder="1" applyAlignment="1" applyProtection="1">
      <alignment horizontal="left" vertical="center" wrapText="1"/>
    </xf>
    <xf numFmtId="1" fontId="5" fillId="0" borderId="8" xfId="1" applyNumberFormat="1" applyFont="1" applyFill="1" applyBorder="1" applyAlignment="1" applyProtection="1">
      <alignment horizontal="right" vertical="center" wrapText="1"/>
    </xf>
    <xf numFmtId="0" fontId="5" fillId="0" borderId="67" xfId="0" applyFont="1" applyBorder="1" applyAlignment="1">
      <alignment horizontal="left" vertical="top" wrapText="1"/>
    </xf>
    <xf numFmtId="0" fontId="5" fillId="2" borderId="67" xfId="0" applyFont="1" applyFill="1" applyBorder="1" applyAlignment="1">
      <alignment horizontal="left" vertical="center" wrapText="1"/>
    </xf>
    <xf numFmtId="1" fontId="5" fillId="0" borderId="1" xfId="1" applyNumberFormat="1" applyFont="1" applyFill="1" applyBorder="1" applyAlignment="1" applyProtection="1">
      <alignment horizontal="right" vertical="center" wrapText="1"/>
    </xf>
    <xf numFmtId="0" fontId="5" fillId="0" borderId="62" xfId="0" applyFont="1" applyBorder="1" applyAlignment="1">
      <alignment horizontal="left" vertical="top" wrapText="1"/>
    </xf>
    <xf numFmtId="0" fontId="5" fillId="2" borderId="62" xfId="0" applyFont="1" applyFill="1" applyBorder="1" applyAlignment="1">
      <alignment horizontal="left" vertical="center" wrapText="1"/>
    </xf>
    <xf numFmtId="0" fontId="5" fillId="2" borderId="8" xfId="1" applyNumberFormat="1" applyFont="1" applyFill="1" applyBorder="1" applyAlignment="1" applyProtection="1">
      <alignment horizontal="left" vertical="center" wrapText="1"/>
    </xf>
    <xf numFmtId="164" fontId="5" fillId="2" borderId="8" xfId="1" applyNumberFormat="1" applyFont="1" applyFill="1" applyBorder="1" applyAlignment="1" applyProtection="1">
      <alignment horizontal="center" vertical="center" wrapText="1"/>
    </xf>
    <xf numFmtId="0" fontId="5" fillId="2" borderId="8" xfId="1" applyNumberFormat="1" applyFont="1" applyFill="1" applyBorder="1" applyAlignment="1" applyProtection="1">
      <alignment vertical="center" wrapText="1"/>
    </xf>
    <xf numFmtId="166" fontId="5" fillId="2" borderId="1" xfId="1" applyNumberFormat="1" applyFont="1" applyFill="1" applyBorder="1" applyAlignment="1" applyProtection="1">
      <alignment horizontal="right" vertical="center" wrapText="1"/>
    </xf>
    <xf numFmtId="0" fontId="5" fillId="0" borderId="62" xfId="0" applyFont="1" applyBorder="1"/>
    <xf numFmtId="0" fontId="21" fillId="0" borderId="62" xfId="0" applyFont="1" applyBorder="1" applyAlignment="1">
      <alignment vertical="center"/>
    </xf>
    <xf numFmtId="175" fontId="5" fillId="0" borderId="1" xfId="1" applyNumberFormat="1" applyFont="1" applyFill="1" applyBorder="1" applyAlignment="1" applyProtection="1">
      <alignment horizontal="right" vertical="center" wrapText="1"/>
    </xf>
    <xf numFmtId="164" fontId="5" fillId="0" borderId="8" xfId="1" applyNumberFormat="1" applyFont="1" applyFill="1" applyBorder="1" applyAlignment="1" applyProtection="1">
      <alignment horizontal="centerContinuous" vertical="center" wrapText="1"/>
    </xf>
    <xf numFmtId="167" fontId="5" fillId="2" borderId="6" xfId="0" applyNumberFormat="1" applyFont="1" applyFill="1" applyBorder="1" applyAlignment="1">
      <alignment vertical="center"/>
    </xf>
    <xf numFmtId="43" fontId="5" fillId="0" borderId="8" xfId="1" applyFont="1" applyFill="1" applyBorder="1" applyAlignment="1" applyProtection="1">
      <alignment horizontal="center" vertical="center" wrapText="1"/>
    </xf>
    <xf numFmtId="0" fontId="5" fillId="0" borderId="64" xfId="0" applyFont="1" applyBorder="1" applyAlignment="1">
      <alignment horizontal="left" vertical="top" wrapText="1"/>
    </xf>
    <xf numFmtId="0" fontId="5" fillId="0" borderId="64" xfId="0" applyFont="1" applyBorder="1" applyAlignment="1">
      <alignment horizontal="left" vertical="center" wrapText="1"/>
    </xf>
    <xf numFmtId="0" fontId="5" fillId="2" borderId="12" xfId="1" applyNumberFormat="1" applyFont="1" applyFill="1" applyBorder="1" applyAlignment="1" applyProtection="1">
      <alignment vertical="center" wrapText="1"/>
    </xf>
    <xf numFmtId="166" fontId="5" fillId="2" borderId="12" xfId="1" applyNumberFormat="1" applyFont="1" applyFill="1" applyBorder="1" applyAlignment="1" applyProtection="1">
      <alignment horizontal="right" vertical="center" wrapText="1"/>
    </xf>
    <xf numFmtId="167" fontId="5" fillId="2" borderId="66" xfId="0" applyNumberFormat="1" applyFont="1" applyFill="1" applyBorder="1" applyAlignment="1">
      <alignment vertical="center"/>
    </xf>
    <xf numFmtId="0" fontId="5" fillId="0" borderId="70" xfId="0" applyFont="1" applyBorder="1" applyAlignment="1">
      <alignment horizontal="left" vertical="top" wrapText="1"/>
    </xf>
    <xf numFmtId="49" fontId="5" fillId="0" borderId="70" xfId="1" applyNumberFormat="1" applyFont="1" applyFill="1" applyBorder="1" applyAlignment="1" applyProtection="1">
      <alignment horizontal="center" vertical="center" wrapText="1"/>
    </xf>
    <xf numFmtId="0" fontId="5" fillId="0" borderId="70" xfId="0" applyFont="1" applyBorder="1" applyAlignment="1">
      <alignment horizontal="left" vertical="center" wrapText="1"/>
    </xf>
    <xf numFmtId="49" fontId="6" fillId="2" borderId="8" xfId="1" applyNumberFormat="1" applyFont="1" applyFill="1" applyBorder="1" applyAlignment="1" applyProtection="1">
      <alignment horizontal="right" vertical="center" wrapText="1"/>
    </xf>
    <xf numFmtId="164" fontId="6" fillId="2" borderId="6" xfId="1" applyNumberFormat="1" applyFont="1" applyFill="1" applyBorder="1" applyAlignment="1" applyProtection="1">
      <alignment horizontal="right" vertical="center" wrapText="1"/>
    </xf>
    <xf numFmtId="164" fontId="6" fillId="2" borderId="91" xfId="1" applyNumberFormat="1" applyFont="1" applyFill="1" applyBorder="1" applyAlignment="1" applyProtection="1">
      <alignment horizontal="right" vertical="center" wrapText="1"/>
    </xf>
    <xf numFmtId="0" fontId="5" fillId="2" borderId="0" xfId="0" applyFont="1" applyFill="1" applyAlignment="1">
      <alignment horizontal="left" vertical="center" wrapText="1"/>
    </xf>
    <xf numFmtId="0" fontId="5" fillId="2" borderId="0" xfId="0" applyFont="1" applyFill="1" applyAlignment="1">
      <alignment vertical="center"/>
    </xf>
    <xf numFmtId="0" fontId="0" fillId="2" borderId="0" xfId="0" applyFill="1" applyProtection="1">
      <protection locked="0"/>
    </xf>
    <xf numFmtId="0" fontId="21" fillId="0" borderId="0" xfId="0" applyFont="1" applyAlignment="1">
      <alignment vertical="center"/>
    </xf>
    <xf numFmtId="0" fontId="22" fillId="3" borderId="20" xfId="0" applyFont="1" applyFill="1" applyBorder="1" applyAlignment="1">
      <alignment vertical="center"/>
    </xf>
    <xf numFmtId="0" fontId="0" fillId="3" borderId="21" xfId="0" applyFill="1" applyBorder="1" applyAlignment="1">
      <alignment vertical="center"/>
    </xf>
    <xf numFmtId="164" fontId="21" fillId="3" borderId="21" xfId="1" applyNumberFormat="1" applyFont="1" applyFill="1" applyBorder="1" applyAlignment="1" applyProtection="1">
      <alignment vertical="center"/>
    </xf>
    <xf numFmtId="0" fontId="0" fillId="3" borderId="22" xfId="0" applyFill="1" applyBorder="1" applyAlignment="1">
      <alignment vertical="center"/>
    </xf>
    <xf numFmtId="0" fontId="0" fillId="2" borderId="1" xfId="0" applyFill="1" applyBorder="1" applyAlignment="1">
      <alignment vertical="center"/>
    </xf>
    <xf numFmtId="164" fontId="0" fillId="2" borderId="1" xfId="1" applyNumberFormat="1" applyFont="1" applyFill="1" applyBorder="1" applyAlignment="1" applyProtection="1">
      <alignment vertical="center"/>
    </xf>
    <xf numFmtId="165" fontId="0" fillId="2" borderId="48" xfId="2"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vertical="center"/>
    </xf>
    <xf numFmtId="0" fontId="0" fillId="2" borderId="49" xfId="0" applyFill="1" applyBorder="1" applyAlignment="1">
      <alignment horizontal="center" vertical="center"/>
    </xf>
    <xf numFmtId="0" fontId="0" fillId="2" borderId="12" xfId="0" applyFill="1" applyBorder="1" applyAlignment="1">
      <alignment vertical="center"/>
    </xf>
    <xf numFmtId="164" fontId="0" fillId="2" borderId="12" xfId="0" applyNumberFormat="1" applyFill="1" applyBorder="1" applyAlignment="1">
      <alignment horizontal="center" vertical="center" wrapText="1"/>
    </xf>
    <xf numFmtId="165" fontId="0" fillId="2" borderId="50" xfId="2" applyNumberFormat="1" applyFont="1" applyFill="1" applyBorder="1" applyAlignment="1" applyProtection="1">
      <alignment horizontal="center" vertical="center" wrapText="1"/>
    </xf>
    <xf numFmtId="164" fontId="1" fillId="2" borderId="51" xfId="1" applyNumberFormat="1" applyFont="1" applyFill="1" applyBorder="1" applyAlignment="1" applyProtection="1">
      <alignment vertical="center"/>
    </xf>
    <xf numFmtId="164" fontId="1" fillId="2" borderId="51" xfId="0" applyNumberFormat="1" applyFont="1" applyFill="1" applyBorder="1" applyAlignment="1">
      <alignment vertical="center" wrapText="1"/>
    </xf>
    <xf numFmtId="165" fontId="1" fillId="2" borderId="52" xfId="2" applyNumberFormat="1" applyFont="1" applyFill="1" applyBorder="1" applyAlignment="1" applyProtection="1">
      <alignment vertical="center" wrapText="1"/>
    </xf>
    <xf numFmtId="0" fontId="0" fillId="2" borderId="0" xfId="0" applyFill="1" applyAlignment="1" applyProtection="1">
      <alignment vertical="center"/>
      <protection locked="0"/>
    </xf>
    <xf numFmtId="43" fontId="0" fillId="2" borderId="0" xfId="0" applyNumberFormat="1" applyFill="1" applyProtection="1">
      <protection locked="0"/>
    </xf>
    <xf numFmtId="0" fontId="14" fillId="0" borderId="0" xfId="0" applyFont="1"/>
    <xf numFmtId="164" fontId="0" fillId="0" borderId="0" xfId="1" applyNumberFormat="1" applyFont="1" applyFill="1" applyProtection="1"/>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21" fillId="2" borderId="9" xfId="0" applyFont="1" applyFill="1" applyBorder="1" applyAlignment="1">
      <alignment horizontal="left" vertical="center"/>
    </xf>
    <xf numFmtId="0" fontId="21" fillId="2" borderId="19" xfId="0" applyFont="1" applyFill="1" applyBorder="1" applyAlignment="1">
      <alignment horizontal="left" vertical="center"/>
    </xf>
    <xf numFmtId="0" fontId="17" fillId="5" borderId="0" xfId="0" applyFont="1" applyFill="1" applyAlignment="1">
      <alignment horizontal="left" vertical="top" wrapText="1"/>
    </xf>
    <xf numFmtId="0" fontId="17" fillId="5" borderId="0" xfId="0" applyFont="1" applyFill="1" applyAlignment="1">
      <alignment horizontal="left" vertical="center" wrapText="1"/>
    </xf>
    <xf numFmtId="0" fontId="17" fillId="5" borderId="0" xfId="0" applyFont="1" applyFill="1" applyAlignment="1">
      <alignment horizontal="left"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21" fillId="2" borderId="0" xfId="0" applyFont="1" applyFill="1" applyAlignment="1">
      <alignment horizontal="left" vertical="center"/>
    </xf>
    <xf numFmtId="0" fontId="21" fillId="2" borderId="7" xfId="0" applyFont="1" applyFill="1" applyBorder="1" applyAlignment="1">
      <alignment horizontal="left" vertical="center"/>
    </xf>
    <xf numFmtId="0" fontId="21" fillId="2" borderId="5" xfId="0" applyFont="1" applyFill="1" applyBorder="1" applyAlignment="1">
      <alignment horizontal="left" vertical="center" wrapText="1" indent="1"/>
    </xf>
    <xf numFmtId="0" fontId="21" fillId="2" borderId="8" xfId="0" applyFont="1" applyFill="1" applyBorder="1" applyAlignment="1">
      <alignment horizontal="left" vertical="center" wrapText="1" indent="1"/>
    </xf>
    <xf numFmtId="0" fontId="21" fillId="2" borderId="9" xfId="0" applyFont="1" applyFill="1" applyBorder="1" applyAlignment="1">
      <alignment vertical="center"/>
    </xf>
    <xf numFmtId="0" fontId="21" fillId="2" borderId="0" xfId="0" applyFont="1" applyFill="1" applyAlignment="1">
      <alignment vertical="center"/>
    </xf>
    <xf numFmtId="0" fontId="21" fillId="2" borderId="7" xfId="0" applyFont="1" applyFill="1" applyBorder="1" applyAlignment="1">
      <alignment vertical="center"/>
    </xf>
    <xf numFmtId="0" fontId="5" fillId="0" borderId="1" xfId="4" applyBorder="1" applyAlignment="1">
      <alignment horizontal="left" vertical="top" wrapText="1"/>
    </xf>
    <xf numFmtId="0" fontId="24" fillId="2" borderId="26" xfId="4" applyFont="1" applyFill="1" applyBorder="1" applyAlignment="1">
      <alignment horizontal="center" vertical="center" wrapText="1"/>
    </xf>
    <xf numFmtId="0" fontId="24" fillId="2" borderId="25" xfId="4" applyFont="1" applyFill="1" applyBorder="1" applyAlignment="1">
      <alignment horizontal="center" vertical="center" wrapText="1"/>
    </xf>
    <xf numFmtId="0" fontId="24" fillId="0" borderId="26" xfId="4" applyFont="1" applyBorder="1" applyAlignment="1">
      <alignment horizontal="center" vertical="center" wrapText="1"/>
    </xf>
    <xf numFmtId="0" fontId="24" fillId="0" borderId="25" xfId="4" applyFont="1" applyBorder="1" applyAlignment="1">
      <alignment horizontal="center" vertical="center" wrapText="1"/>
    </xf>
    <xf numFmtId="0" fontId="24" fillId="0" borderId="27" xfId="4" applyFont="1" applyBorder="1" applyAlignment="1">
      <alignment horizontal="center" vertical="center" wrapText="1"/>
    </xf>
    <xf numFmtId="0" fontId="24" fillId="0" borderId="34" xfId="4" applyFont="1" applyBorder="1" applyAlignment="1">
      <alignment horizontal="center" vertical="center" wrapText="1"/>
    </xf>
    <xf numFmtId="0" fontId="24" fillId="3" borderId="23" xfId="4" applyFont="1" applyFill="1" applyBorder="1" applyAlignment="1">
      <alignment horizontal="center" vertical="center" wrapText="1"/>
    </xf>
    <xf numFmtId="0" fontId="24" fillId="3" borderId="31" xfId="4" applyFont="1" applyFill="1" applyBorder="1" applyAlignment="1">
      <alignment horizontal="center" vertical="center" wrapText="1"/>
    </xf>
    <xf numFmtId="0" fontId="24" fillId="2" borderId="24" xfId="4" applyFont="1" applyFill="1" applyBorder="1" applyAlignment="1">
      <alignment horizontal="center" vertical="center" wrapText="1"/>
    </xf>
    <xf numFmtId="0" fontId="5" fillId="0" borderId="1" xfId="4" applyBorder="1" applyAlignment="1">
      <alignment vertical="top" wrapText="1"/>
    </xf>
    <xf numFmtId="0" fontId="5" fillId="0" borderId="1" xfId="4" applyBorder="1" applyAlignment="1">
      <alignment vertical="center" wrapText="1"/>
    </xf>
    <xf numFmtId="0" fontId="5" fillId="10" borderId="1" xfId="4" applyFill="1" applyBorder="1" applyAlignment="1">
      <alignment vertical="top" wrapText="1"/>
    </xf>
    <xf numFmtId="0" fontId="5" fillId="9" borderId="1" xfId="4" applyFill="1" applyBorder="1" applyAlignment="1">
      <alignment horizontal="left" vertical="top" wrapText="1"/>
    </xf>
    <xf numFmtId="0" fontId="5" fillId="5" borderId="1" xfId="4" applyFill="1" applyBorder="1" applyAlignment="1">
      <alignment vertical="top" wrapText="1"/>
    </xf>
    <xf numFmtId="0" fontId="5" fillId="10" borderId="60" xfId="4" applyFill="1" applyBorder="1" applyAlignment="1">
      <alignment horizontal="center" vertical="center" wrapText="1"/>
    </xf>
    <xf numFmtId="0" fontId="5" fillId="10" borderId="61" xfId="4" applyFill="1" applyBorder="1" applyAlignment="1">
      <alignment horizontal="center" vertical="center" wrapText="1"/>
    </xf>
    <xf numFmtId="0" fontId="24" fillId="0" borderId="20" xfId="4" applyFont="1" applyBorder="1" applyAlignment="1">
      <alignment horizontal="center" vertical="center" wrapText="1"/>
    </xf>
    <xf numFmtId="0" fontId="24" fillId="0" borderId="36" xfId="4" applyFont="1" applyBorder="1" applyAlignment="1">
      <alignment horizontal="center" vertical="center" wrapText="1"/>
    </xf>
    <xf numFmtId="0" fontId="24" fillId="0" borderId="21"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22"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23" xfId="4" applyFont="1" applyBorder="1" applyAlignment="1">
      <alignment horizontal="center" vertical="center" wrapText="1"/>
    </xf>
    <xf numFmtId="0" fontId="24" fillId="0" borderId="31" xfId="4" applyFont="1" applyBorder="1" applyAlignment="1">
      <alignment horizontal="center" vertical="center" wrapText="1"/>
    </xf>
    <xf numFmtId="0" fontId="4" fillId="0" borderId="0" xfId="0" applyFont="1" applyAlignment="1">
      <alignment horizontal="center" wrapText="1"/>
    </xf>
    <xf numFmtId="0" fontId="4" fillId="0" borderId="7" xfId="0" applyFont="1" applyBorder="1" applyAlignment="1">
      <alignment horizont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0" xfId="0" applyFont="1" applyAlignment="1">
      <alignment horizontal="center" vertical="center" wrapText="1"/>
    </xf>
    <xf numFmtId="0" fontId="4" fillId="2" borderId="7" xfId="0" applyFont="1" applyFill="1" applyBorder="1" applyAlignment="1">
      <alignment horizontal="center" vertical="center"/>
    </xf>
    <xf numFmtId="0" fontId="19" fillId="0" borderId="9" xfId="0" applyFont="1" applyBorder="1" applyAlignment="1">
      <alignment horizontal="left" vertical="center" wrapText="1" indent="1"/>
    </xf>
    <xf numFmtId="0" fontId="19" fillId="0" borderId="17" xfId="0" applyFont="1" applyBorder="1" applyAlignment="1">
      <alignment horizontal="left" vertical="center" indent="1"/>
    </xf>
    <xf numFmtId="0" fontId="19" fillId="0" borderId="7" xfId="0" applyFont="1" applyBorder="1" applyAlignment="1">
      <alignment horizontal="left" vertical="center" indent="1"/>
    </xf>
    <xf numFmtId="0" fontId="19" fillId="0" borderId="10" xfId="0" applyFont="1" applyBorder="1" applyAlignment="1">
      <alignment horizontal="left" vertical="center" indent="1"/>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vertical="center" wrapText="1"/>
    </xf>
    <xf numFmtId="0" fontId="4" fillId="2" borderId="17" xfId="0" applyFont="1" applyFill="1" applyBorder="1" applyAlignment="1">
      <alignment horizontal="center" vertical="center"/>
    </xf>
    <xf numFmtId="0" fontId="20" fillId="3" borderId="9" xfId="0" applyFont="1" applyFill="1" applyBorder="1" applyAlignment="1">
      <alignment horizontal="left" vertical="center" wrapText="1" indent="1"/>
    </xf>
    <xf numFmtId="0" fontId="20" fillId="3" borderId="16" xfId="0" applyFont="1" applyFill="1" applyBorder="1" applyAlignment="1">
      <alignment horizontal="left" vertical="center" indent="1"/>
    </xf>
    <xf numFmtId="0" fontId="20" fillId="3" borderId="7" xfId="0" applyFont="1" applyFill="1" applyBorder="1" applyAlignment="1">
      <alignment horizontal="left" vertical="center" indent="1"/>
    </xf>
    <xf numFmtId="0" fontId="20" fillId="3" borderId="10" xfId="0" applyFont="1" applyFill="1" applyBorder="1" applyAlignment="1">
      <alignment horizontal="left" vertical="center" indent="1"/>
    </xf>
    <xf numFmtId="0" fontId="22" fillId="4" borderId="4" xfId="0" applyFont="1" applyFill="1" applyBorder="1" applyAlignment="1">
      <alignment horizontal="left" vertical="top"/>
    </xf>
    <xf numFmtId="0" fontId="4" fillId="2" borderId="0" xfId="0" applyFont="1" applyFill="1" applyAlignment="1">
      <alignment horizontal="center" wrapText="1"/>
    </xf>
    <xf numFmtId="0" fontId="6" fillId="0" borderId="16" xfId="0" applyFont="1" applyBorder="1" applyAlignment="1">
      <alignment horizontal="left" vertical="center"/>
    </xf>
    <xf numFmtId="0" fontId="6" fillId="0" borderId="10" xfId="0" applyFont="1" applyBorder="1" applyAlignment="1">
      <alignment horizontal="left" vertical="center"/>
    </xf>
    <xf numFmtId="0" fontId="10" fillId="0" borderId="16" xfId="0" applyFont="1" applyBorder="1" applyAlignment="1">
      <alignment horizontal="left" vertical="center"/>
    </xf>
    <xf numFmtId="0" fontId="10" fillId="0" borderId="10" xfId="0" applyFont="1" applyBorder="1" applyAlignment="1">
      <alignment horizontal="left" vertical="center"/>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8" fillId="0" borderId="0" xfId="0" applyFont="1" applyAlignment="1">
      <alignment horizontal="left" vertical="center" wrapText="1" indent="1"/>
    </xf>
    <xf numFmtId="0" fontId="18" fillId="0" borderId="17"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10" xfId="0" applyFont="1" applyBorder="1" applyAlignment="1">
      <alignment horizontal="left" vertical="center" wrapText="1" indent="1"/>
    </xf>
    <xf numFmtId="0" fontId="7" fillId="0" borderId="0" xfId="0" applyFont="1" applyAlignment="1">
      <alignment horizontal="left" vertical="center" wrapText="1"/>
    </xf>
    <xf numFmtId="0" fontId="7" fillId="0" borderId="0" xfId="0" applyFont="1" applyAlignment="1">
      <alignment horizontal="left" vertical="center"/>
    </xf>
    <xf numFmtId="0" fontId="4" fillId="0" borderId="4" xfId="0" applyFont="1" applyBorder="1" applyAlignment="1">
      <alignment horizontal="left" vertical="top"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4" fillId="2" borderId="9"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2" borderId="0" xfId="0" applyFont="1" applyFill="1" applyAlignment="1">
      <alignment horizontal="left" vertical="center" wrapText="1" indent="1"/>
    </xf>
    <xf numFmtId="0" fontId="5" fillId="2" borderId="9" xfId="0" applyFont="1" applyFill="1" applyBorder="1" applyAlignment="1">
      <alignment vertical="center" wrapText="1"/>
    </xf>
    <xf numFmtId="0" fontId="5" fillId="2" borderId="0" xfId="0" applyFont="1" applyFill="1" applyAlignment="1">
      <alignment vertical="center" wrapText="1"/>
    </xf>
    <xf numFmtId="0" fontId="5" fillId="2" borderId="7" xfId="0" applyFont="1" applyFill="1" applyBorder="1" applyAlignment="1">
      <alignment vertical="center" wrapText="1"/>
    </xf>
    <xf numFmtId="0" fontId="7" fillId="0" borderId="0" xfId="0" applyFont="1" applyAlignment="1">
      <alignment horizontal="left" wrapText="1"/>
    </xf>
    <xf numFmtId="0" fontId="4" fillId="2" borderId="4" xfId="0" applyFont="1" applyFill="1" applyBorder="1" applyAlignment="1">
      <alignment horizontal="left" vertical="center" wrapText="1" indent="1"/>
    </xf>
    <xf numFmtId="0" fontId="3" fillId="3" borderId="7" xfId="0" applyFont="1" applyFill="1" applyBorder="1" applyAlignment="1">
      <alignment horizontal="left" vertical="center"/>
    </xf>
    <xf numFmtId="0" fontId="4" fillId="0" borderId="9" xfId="0" applyFont="1" applyBorder="1" applyAlignment="1">
      <alignment horizontal="left" vertical="center" wrapText="1" indent="1"/>
    </xf>
    <xf numFmtId="0" fontId="4" fillId="2" borderId="4" xfId="0" applyFont="1" applyFill="1" applyBorder="1" applyAlignment="1">
      <alignment horizontal="left" vertical="top" wrapText="1" indent="1"/>
    </xf>
    <xf numFmtId="0" fontId="5" fillId="2" borderId="4" xfId="0" applyFont="1" applyFill="1" applyBorder="1" applyAlignment="1">
      <alignment horizontal="left" vertical="center" wrapText="1" indent="1"/>
    </xf>
    <xf numFmtId="0" fontId="7" fillId="0" borderId="4" xfId="0" applyFont="1" applyBorder="1" applyAlignment="1">
      <alignment horizontal="left" vertical="center" wrapText="1" indent="1"/>
    </xf>
    <xf numFmtId="0" fontId="6" fillId="2" borderId="7" xfId="1" applyNumberFormat="1" applyFont="1" applyFill="1" applyBorder="1" applyAlignment="1" applyProtection="1">
      <alignment horizontal="center" wrapText="1"/>
    </xf>
    <xf numFmtId="0" fontId="6" fillId="0" borderId="7" xfId="1" applyNumberFormat="1" applyFont="1" applyFill="1" applyBorder="1" applyAlignment="1" applyProtection="1">
      <alignment horizontal="center" wrapText="1"/>
    </xf>
    <xf numFmtId="0" fontId="6" fillId="2" borderId="7" xfId="1" applyNumberFormat="1" applyFont="1" applyFill="1" applyBorder="1" applyAlignment="1" applyProtection="1">
      <alignment horizontal="center" vertical="center" wrapText="1"/>
    </xf>
    <xf numFmtId="49" fontId="5" fillId="0" borderId="0" xfId="1" applyNumberFormat="1" applyFont="1" applyFill="1" applyBorder="1" applyAlignment="1" applyProtection="1">
      <alignment horizontal="left" vertical="center" wrapText="1"/>
    </xf>
    <xf numFmtId="0" fontId="6" fillId="2" borderId="7" xfId="1" applyNumberFormat="1" applyFont="1" applyFill="1" applyBorder="1" applyAlignment="1">
      <alignment horizontal="left"/>
    </xf>
    <xf numFmtId="0" fontId="6" fillId="0" borderId="7" xfId="1" applyNumberFormat="1" applyFont="1" applyFill="1" applyBorder="1" applyAlignment="1">
      <alignment horizontal="left"/>
    </xf>
    <xf numFmtId="0" fontId="6" fillId="2" borderId="7" xfId="1" applyNumberFormat="1" applyFont="1" applyFill="1" applyBorder="1" applyAlignment="1">
      <alignment horizontal="center" vertical="center" wrapText="1"/>
    </xf>
    <xf numFmtId="0" fontId="6" fillId="0" borderId="7" xfId="1" applyNumberFormat="1" applyFont="1" applyFill="1" applyBorder="1" applyAlignment="1">
      <alignment horizontal="center" wrapText="1"/>
    </xf>
    <xf numFmtId="0" fontId="6" fillId="2" borderId="7" xfId="1" applyNumberFormat="1" applyFont="1" applyFill="1" applyBorder="1" applyAlignment="1">
      <alignment horizontal="center" vertical="center"/>
    </xf>
    <xf numFmtId="0" fontId="6" fillId="0" borderId="7" xfId="1" applyNumberFormat="1" applyFont="1" applyFill="1" applyBorder="1" applyAlignment="1" applyProtection="1">
      <alignment horizontal="center" vertical="center" wrapText="1"/>
    </xf>
    <xf numFmtId="0" fontId="6" fillId="2" borderId="7" xfId="1" applyNumberFormat="1" applyFont="1" applyFill="1" applyBorder="1" applyAlignment="1" applyProtection="1">
      <alignment horizontal="center" vertical="center"/>
    </xf>
    <xf numFmtId="0" fontId="20" fillId="2" borderId="0" xfId="0" applyFont="1" applyFill="1" applyAlignment="1">
      <alignment horizontal="center" vertical="center"/>
    </xf>
    <xf numFmtId="0" fontId="20" fillId="2" borderId="7" xfId="0" applyFont="1" applyFill="1" applyBorder="1" applyAlignment="1">
      <alignment horizontal="center" vertical="center"/>
    </xf>
    <xf numFmtId="0" fontId="18" fillId="2" borderId="0" xfId="0" applyFont="1" applyFill="1" applyAlignment="1">
      <alignment horizontal="center" vertical="center" wrapText="1"/>
    </xf>
    <xf numFmtId="0" fontId="0" fillId="2" borderId="1"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48" xfId="0" applyFill="1" applyBorder="1" applyAlignment="1">
      <alignment horizontal="center" vertical="center" wrapText="1"/>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0" fillId="2" borderId="53" xfId="0" applyFill="1" applyBorder="1" applyAlignment="1">
      <alignment horizontal="center" vertical="center"/>
    </xf>
    <xf numFmtId="0" fontId="0" fillId="2" borderId="47" xfId="0" applyFill="1" applyBorder="1" applyAlignment="1">
      <alignment horizontal="center" vertical="center"/>
    </xf>
    <xf numFmtId="0" fontId="0" fillId="2" borderId="54" xfId="0" applyFill="1" applyBorder="1" applyAlignment="1">
      <alignment horizontal="center" vertical="center"/>
    </xf>
    <xf numFmtId="0" fontId="0" fillId="2" borderId="1" xfId="0" applyFill="1" applyBorder="1" applyAlignment="1">
      <alignment horizontal="center" vertical="center"/>
    </xf>
    <xf numFmtId="164" fontId="0" fillId="2" borderId="55" xfId="1" applyNumberFormat="1" applyFont="1" applyFill="1" applyBorder="1" applyAlignment="1">
      <alignment horizontal="center" vertical="center"/>
    </xf>
    <xf numFmtId="164" fontId="0" fillId="2" borderId="8" xfId="1" applyNumberFormat="1" applyFont="1" applyFill="1" applyBorder="1" applyAlignment="1">
      <alignment horizontal="center" vertical="center"/>
    </xf>
    <xf numFmtId="0" fontId="1" fillId="2" borderId="31" xfId="0" applyFont="1" applyFill="1" applyBorder="1" applyAlignment="1">
      <alignment horizontal="right" vertical="center"/>
    </xf>
    <xf numFmtId="0" fontId="1" fillId="2" borderId="51" xfId="0" applyFont="1" applyFill="1" applyBorder="1" applyAlignment="1">
      <alignment horizontal="right" vertical="center"/>
    </xf>
    <xf numFmtId="164" fontId="0" fillId="2" borderId="5" xfId="1" applyNumberFormat="1" applyFont="1" applyFill="1" applyBorder="1" applyAlignment="1" applyProtection="1">
      <alignment horizontal="center" vertical="center"/>
    </xf>
    <xf numFmtId="164" fontId="0" fillId="2" borderId="8" xfId="1" applyNumberFormat="1" applyFont="1" applyFill="1" applyBorder="1" applyAlignment="1" applyProtection="1">
      <alignment horizontal="center" vertical="center"/>
    </xf>
  </cellXfs>
  <cellStyles count="5">
    <cellStyle name="Comma" xfId="1" builtinId="3"/>
    <cellStyle name="Currency" xfId="2" builtinId="4"/>
    <cellStyle name="Normal" xfId="0" builtinId="0"/>
    <cellStyle name="Normal 2 4" xfId="4" xr:uid="{80FAAB5E-06B7-4BE3-B6B4-9D347A8AF50B}"/>
    <cellStyle name="Percent" xfId="3" builtinId="5"/>
  </cellStyles>
  <dxfs count="0"/>
  <tableStyles count="0" defaultTableStyle="TableStyleMedium2"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7796-BF1A-4EE6-B956-5AE67237F9F4}">
  <sheetPr codeName="Sheet1">
    <tabColor rgb="FFFF0000"/>
  </sheetPr>
  <dimension ref="A1:V128"/>
  <sheetViews>
    <sheetView view="pageBreakPreview" zoomScale="80" zoomScaleNormal="80" zoomScaleSheetLayoutView="80" workbookViewId="0">
      <pane xSplit="2" ySplit="3" topLeftCell="C4" activePane="bottomRight" state="frozen"/>
      <selection activeCell="B23" sqref="B23:B28"/>
      <selection pane="topRight" activeCell="B23" sqref="B23:B28"/>
      <selection pane="bottomLeft" activeCell="B23" sqref="B23:B28"/>
      <selection pane="bottomRight" activeCell="B23" sqref="B23:B28"/>
    </sheetView>
  </sheetViews>
  <sheetFormatPr defaultRowHeight="14" x14ac:dyDescent="0.3"/>
  <cols>
    <col min="1" max="1" width="5" customWidth="1"/>
    <col min="2" max="2" width="31.6640625" customWidth="1"/>
    <col min="3" max="3" width="21.9140625" customWidth="1"/>
    <col min="4" max="4" width="12" customWidth="1"/>
    <col min="5" max="5" width="34.08203125" customWidth="1"/>
    <col min="6" max="6" width="42" customWidth="1"/>
    <col min="7" max="7" width="9.08203125" customWidth="1"/>
  </cols>
  <sheetData>
    <row r="1" spans="1:6" ht="15.5" x14ac:dyDescent="0.35">
      <c r="A1" s="1072" t="s">
        <v>0</v>
      </c>
      <c r="D1" s="117"/>
      <c r="E1" s="117"/>
      <c r="F1" s="117"/>
    </row>
    <row r="2" spans="1:6" ht="9" customHeight="1" x14ac:dyDescent="0.35">
      <c r="A2" s="278"/>
      <c r="B2" s="117"/>
      <c r="C2" s="117"/>
      <c r="D2" s="117"/>
      <c r="E2" s="117"/>
      <c r="F2" s="117"/>
    </row>
    <row r="3" spans="1:6" ht="28" x14ac:dyDescent="0.3">
      <c r="A3" s="91"/>
      <c r="B3" s="92" t="s">
        <v>1</v>
      </c>
      <c r="C3" s="93" t="s">
        <v>2</v>
      </c>
      <c r="D3" s="117"/>
      <c r="E3" s="92" t="s">
        <v>3</v>
      </c>
      <c r="F3" s="93" t="s">
        <v>4</v>
      </c>
    </row>
    <row r="4" spans="1:6" x14ac:dyDescent="0.3">
      <c r="A4" s="94">
        <v>1</v>
      </c>
      <c r="B4" s="377" t="s">
        <v>5</v>
      </c>
      <c r="C4" s="376" t="s">
        <v>6</v>
      </c>
      <c r="D4" s="117">
        <v>1</v>
      </c>
      <c r="E4" s="95" t="s">
        <v>7</v>
      </c>
      <c r="F4" s="1085" t="s">
        <v>8</v>
      </c>
    </row>
    <row r="5" spans="1:6" x14ac:dyDescent="0.3">
      <c r="A5" s="96">
        <v>2</v>
      </c>
      <c r="B5" s="97" t="s">
        <v>9</v>
      </c>
      <c r="C5" s="98" t="s">
        <v>10</v>
      </c>
      <c r="D5" s="117">
        <v>2</v>
      </c>
      <c r="E5" s="99" t="s">
        <v>11</v>
      </c>
      <c r="F5" s="1086"/>
    </row>
    <row r="6" spans="1:6" x14ac:dyDescent="0.3">
      <c r="A6" s="1074">
        <v>3</v>
      </c>
      <c r="B6" s="1076" t="s">
        <v>1061</v>
      </c>
      <c r="C6" s="374" t="s">
        <v>39</v>
      </c>
      <c r="D6" s="117">
        <v>1</v>
      </c>
      <c r="E6" s="100" t="s">
        <v>14</v>
      </c>
      <c r="F6" s="101" t="s">
        <v>15</v>
      </c>
    </row>
    <row r="7" spans="1:6" ht="14" customHeight="1" x14ac:dyDescent="0.3">
      <c r="A7" s="1081"/>
      <c r="B7" s="1083"/>
      <c r="C7" s="375" t="s">
        <v>40</v>
      </c>
      <c r="D7" s="117"/>
      <c r="E7" s="102" t="str">
        <f>"Total programs = " &amp; COUNTA(E4:E6)</f>
        <v>Total programs = 3</v>
      </c>
      <c r="F7" s="102" t="str">
        <f>"Total Facilities = " &amp; COUNTA(E4:E6)</f>
        <v>Total Facilities = 3</v>
      </c>
    </row>
    <row r="8" spans="1:6" x14ac:dyDescent="0.3">
      <c r="A8" s="1081"/>
      <c r="B8" s="1083"/>
      <c r="C8" s="375" t="s">
        <v>41</v>
      </c>
      <c r="D8" s="375"/>
      <c r="E8" s="117"/>
      <c r="F8" s="117"/>
    </row>
    <row r="9" spans="1:6" x14ac:dyDescent="0.3">
      <c r="A9" s="1081"/>
      <c r="B9" s="1083"/>
      <c r="C9" s="375" t="s">
        <v>42</v>
      </c>
      <c r="D9" s="274"/>
      <c r="E9" s="117"/>
      <c r="F9" s="117"/>
    </row>
    <row r="10" spans="1:6" x14ac:dyDescent="0.3">
      <c r="A10" s="1081"/>
      <c r="B10" s="1083"/>
      <c r="C10" s="375" t="s">
        <v>43</v>
      </c>
      <c r="D10" s="117"/>
      <c r="E10" s="117"/>
      <c r="F10" s="117"/>
    </row>
    <row r="11" spans="1:6" x14ac:dyDescent="0.3">
      <c r="A11" s="1081"/>
      <c r="B11" s="1083"/>
      <c r="C11" s="375" t="s">
        <v>44</v>
      </c>
      <c r="D11" s="117"/>
      <c r="E11" s="117"/>
      <c r="F11" s="117"/>
    </row>
    <row r="12" spans="1:6" x14ac:dyDescent="0.3">
      <c r="A12" s="1081"/>
      <c r="B12" s="1083"/>
      <c r="C12" s="103" t="s">
        <v>45</v>
      </c>
      <c r="D12" s="117"/>
      <c r="E12" s="117"/>
      <c r="F12" s="117"/>
    </row>
    <row r="13" spans="1:6" x14ac:dyDescent="0.3">
      <c r="A13" s="1081"/>
      <c r="B13" s="1083"/>
      <c r="C13" s="103" t="s">
        <v>46</v>
      </c>
      <c r="D13" s="117"/>
      <c r="E13" s="117"/>
      <c r="F13" s="117"/>
    </row>
    <row r="14" spans="1:6" x14ac:dyDescent="0.3">
      <c r="A14" s="1081"/>
      <c r="B14" s="1083"/>
      <c r="C14" s="103" t="s">
        <v>47</v>
      </c>
      <c r="D14" s="117"/>
      <c r="E14" s="117"/>
      <c r="F14" s="117"/>
    </row>
    <row r="15" spans="1:6" x14ac:dyDescent="0.3">
      <c r="A15" s="1081"/>
      <c r="B15" s="1083"/>
      <c r="C15" s="103" t="s">
        <v>48</v>
      </c>
      <c r="D15" s="117"/>
      <c r="E15" s="117"/>
      <c r="F15" s="117"/>
    </row>
    <row r="16" spans="1:6" x14ac:dyDescent="0.3">
      <c r="A16" s="1081"/>
      <c r="B16" s="1083"/>
      <c r="C16" s="103" t="s">
        <v>49</v>
      </c>
      <c r="D16" s="117"/>
      <c r="E16" s="117"/>
      <c r="F16" s="117"/>
    </row>
    <row r="17" spans="1:6" x14ac:dyDescent="0.3">
      <c r="A17" s="1082"/>
      <c r="B17" s="1084"/>
      <c r="C17" s="105" t="s">
        <v>50</v>
      </c>
      <c r="D17" s="117"/>
      <c r="E17" s="117"/>
      <c r="F17" s="117"/>
    </row>
    <row r="18" spans="1:6" x14ac:dyDescent="0.3">
      <c r="A18" s="1074">
        <v>4</v>
      </c>
      <c r="B18" s="1087" t="s">
        <v>12</v>
      </c>
      <c r="C18" s="374" t="s">
        <v>13</v>
      </c>
      <c r="D18" s="117"/>
      <c r="E18" s="117"/>
      <c r="F18" s="117"/>
    </row>
    <row r="19" spans="1:6" x14ac:dyDescent="0.3">
      <c r="A19" s="1081"/>
      <c r="B19" s="1088"/>
      <c r="C19" s="375" t="s">
        <v>16</v>
      </c>
      <c r="D19" s="117"/>
      <c r="E19" s="117"/>
      <c r="F19" s="117"/>
    </row>
    <row r="20" spans="1:6" x14ac:dyDescent="0.3">
      <c r="A20" s="1081"/>
      <c r="B20" s="1088"/>
      <c r="C20" s="375" t="s">
        <v>17</v>
      </c>
      <c r="D20" s="117"/>
      <c r="E20" s="117"/>
      <c r="F20" s="117"/>
    </row>
    <row r="21" spans="1:6" x14ac:dyDescent="0.3">
      <c r="A21" s="1082"/>
      <c r="B21" s="1089"/>
      <c r="C21" s="375" t="s">
        <v>18</v>
      </c>
      <c r="D21" s="117"/>
      <c r="E21" s="117"/>
      <c r="F21" s="117"/>
    </row>
    <row r="22" spans="1:6" x14ac:dyDescent="0.3">
      <c r="A22" s="741">
        <v>5</v>
      </c>
      <c r="B22" s="97" t="s">
        <v>19</v>
      </c>
      <c r="C22" s="98" t="s">
        <v>20</v>
      </c>
      <c r="D22" s="117"/>
      <c r="E22" s="117"/>
      <c r="F22" s="117"/>
    </row>
    <row r="23" spans="1:6" x14ac:dyDescent="0.3">
      <c r="A23" s="1074">
        <v>6</v>
      </c>
      <c r="B23" s="1087" t="s">
        <v>21</v>
      </c>
      <c r="C23" s="374" t="s">
        <v>22</v>
      </c>
      <c r="D23" s="274"/>
      <c r="E23" s="117"/>
      <c r="F23" s="117"/>
    </row>
    <row r="24" spans="1:6" x14ac:dyDescent="0.3">
      <c r="A24" s="1081"/>
      <c r="B24" s="1088"/>
      <c r="C24" s="375" t="s">
        <v>23</v>
      </c>
      <c r="D24" s="117"/>
      <c r="E24" s="117"/>
      <c r="F24" s="117"/>
    </row>
    <row r="25" spans="1:6" x14ac:dyDescent="0.3">
      <c r="A25" s="1081"/>
      <c r="B25" s="1088"/>
      <c r="C25" s="375" t="s">
        <v>24</v>
      </c>
      <c r="D25" s="117"/>
      <c r="E25" s="117"/>
      <c r="F25" s="117"/>
    </row>
    <row r="26" spans="1:6" x14ac:dyDescent="0.3">
      <c r="A26" s="1081"/>
      <c r="B26" s="1088"/>
      <c r="C26" s="375" t="s">
        <v>25</v>
      </c>
      <c r="D26" s="117"/>
      <c r="E26" s="117"/>
      <c r="F26" s="117"/>
    </row>
    <row r="27" spans="1:6" x14ac:dyDescent="0.3">
      <c r="A27" s="1081"/>
      <c r="B27" s="1088"/>
      <c r="C27" s="375" t="s">
        <v>26</v>
      </c>
      <c r="D27" s="117"/>
      <c r="E27" s="117"/>
      <c r="F27" s="117"/>
    </row>
    <row r="28" spans="1:6" x14ac:dyDescent="0.3">
      <c r="A28" s="1082"/>
      <c r="B28" s="1089"/>
      <c r="C28" s="376" t="s">
        <v>27</v>
      </c>
      <c r="D28" s="117"/>
      <c r="E28" s="117"/>
      <c r="F28" s="117"/>
    </row>
    <row r="29" spans="1:6" x14ac:dyDescent="0.3">
      <c r="A29" s="1081">
        <v>7</v>
      </c>
      <c r="B29" s="1076" t="s">
        <v>28</v>
      </c>
      <c r="C29" s="103" t="s">
        <v>29</v>
      </c>
      <c r="D29" s="1079" t="s">
        <v>769</v>
      </c>
      <c r="E29" s="1080"/>
      <c r="F29" s="117"/>
    </row>
    <row r="30" spans="1:6" x14ac:dyDescent="0.3">
      <c r="A30" s="1081"/>
      <c r="B30" s="1083"/>
      <c r="C30" s="103" t="s">
        <v>30</v>
      </c>
      <c r="D30" s="1080"/>
      <c r="E30" s="1080"/>
      <c r="F30" s="117"/>
    </row>
    <row r="31" spans="1:6" x14ac:dyDescent="0.3">
      <c r="A31" s="1082"/>
      <c r="B31" s="1084"/>
      <c r="C31" s="376" t="s">
        <v>31</v>
      </c>
      <c r="D31" s="1080"/>
      <c r="E31" s="1080"/>
      <c r="F31" s="117"/>
    </row>
    <row r="32" spans="1:6" x14ac:dyDescent="0.3">
      <c r="A32" s="96">
        <v>8</v>
      </c>
      <c r="B32" s="97" t="s">
        <v>32</v>
      </c>
      <c r="C32" s="376" t="s">
        <v>33</v>
      </c>
      <c r="D32" s="117"/>
      <c r="E32" s="117"/>
      <c r="F32" s="117"/>
    </row>
    <row r="33" spans="1:7" x14ac:dyDescent="0.3">
      <c r="A33" s="1074">
        <v>9</v>
      </c>
      <c r="B33" s="1076" t="s">
        <v>34</v>
      </c>
      <c r="C33" s="104" t="s">
        <v>35</v>
      </c>
      <c r="D33" s="117"/>
      <c r="E33" s="92" t="s">
        <v>3</v>
      </c>
      <c r="F33" s="93" t="s">
        <v>767</v>
      </c>
    </row>
    <row r="34" spans="1:7" x14ac:dyDescent="0.3">
      <c r="A34" s="1081"/>
      <c r="B34" s="1083"/>
      <c r="C34" s="375" t="s">
        <v>36</v>
      </c>
      <c r="D34" s="117">
        <v>1</v>
      </c>
      <c r="E34" s="310" t="s">
        <v>773</v>
      </c>
      <c r="F34" s="451" t="s">
        <v>778</v>
      </c>
      <c r="G34" t="s">
        <v>776</v>
      </c>
    </row>
    <row r="35" spans="1:7" x14ac:dyDescent="0.3">
      <c r="A35" s="1081"/>
      <c r="B35" s="1083"/>
      <c r="C35" s="375" t="s">
        <v>37</v>
      </c>
      <c r="D35" s="117">
        <v>2</v>
      </c>
      <c r="E35" s="310" t="s">
        <v>774</v>
      </c>
      <c r="F35" s="451" t="s">
        <v>775</v>
      </c>
    </row>
    <row r="36" spans="1:7" x14ac:dyDescent="0.3">
      <c r="A36" s="1082"/>
      <c r="B36" s="1084"/>
      <c r="C36" s="376" t="s">
        <v>38</v>
      </c>
      <c r="D36" s="117">
        <v>3</v>
      </c>
      <c r="E36" s="310" t="s">
        <v>772</v>
      </c>
      <c r="F36" s="451" t="s">
        <v>777</v>
      </c>
    </row>
    <row r="37" spans="1:7" x14ac:dyDescent="0.3">
      <c r="A37" s="96">
        <v>10</v>
      </c>
      <c r="B37" s="106" t="s">
        <v>51</v>
      </c>
      <c r="C37" s="107" t="s">
        <v>52</v>
      </c>
      <c r="D37" s="117">
        <v>4</v>
      </c>
      <c r="E37" s="310" t="s">
        <v>771</v>
      </c>
      <c r="F37" s="451" t="s">
        <v>779</v>
      </c>
    </row>
    <row r="38" spans="1:7" x14ac:dyDescent="0.3">
      <c r="A38" s="96">
        <v>11</v>
      </c>
      <c r="B38" s="106" t="s">
        <v>53</v>
      </c>
      <c r="C38" s="107" t="s">
        <v>54</v>
      </c>
      <c r="D38" s="263"/>
      <c r="E38" s="297" t="s">
        <v>766</v>
      </c>
      <c r="F38" s="117"/>
    </row>
    <row r="39" spans="1:7" x14ac:dyDescent="0.3">
      <c r="A39" s="96">
        <v>12</v>
      </c>
      <c r="B39" s="106" t="s">
        <v>55</v>
      </c>
      <c r="C39" s="107" t="s">
        <v>56</v>
      </c>
      <c r="D39" s="117"/>
      <c r="E39" s="117"/>
      <c r="F39" s="117"/>
    </row>
    <row r="40" spans="1:7" x14ac:dyDescent="0.3">
      <c r="A40" s="1074">
        <v>13</v>
      </c>
      <c r="B40" s="1076" t="s">
        <v>57</v>
      </c>
      <c r="C40" s="108" t="s">
        <v>58</v>
      </c>
      <c r="D40" s="117"/>
      <c r="E40" s="117"/>
      <c r="F40" s="117"/>
    </row>
    <row r="41" spans="1:7" x14ac:dyDescent="0.3">
      <c r="A41" s="1081"/>
      <c r="B41" s="1083"/>
      <c r="C41" s="103" t="s">
        <v>59</v>
      </c>
      <c r="D41" s="263"/>
      <c r="E41" s="117"/>
      <c r="F41" s="117"/>
    </row>
    <row r="42" spans="1:7" x14ac:dyDescent="0.3">
      <c r="A42" s="1081"/>
      <c r="B42" s="1083"/>
      <c r="C42" s="103" t="s">
        <v>60</v>
      </c>
      <c r="D42" s="117"/>
      <c r="E42" s="117"/>
      <c r="F42" s="117"/>
    </row>
    <row r="43" spans="1:7" x14ac:dyDescent="0.3">
      <c r="A43" s="1082"/>
      <c r="B43" s="1084"/>
      <c r="C43" s="105" t="s">
        <v>61</v>
      </c>
      <c r="D43" s="117"/>
      <c r="E43" s="117"/>
      <c r="F43" s="117"/>
    </row>
    <row r="44" spans="1:7" x14ac:dyDescent="0.3">
      <c r="A44" s="96">
        <v>14</v>
      </c>
      <c r="B44" s="106" t="s">
        <v>62</v>
      </c>
      <c r="C44" s="107" t="s">
        <v>63</v>
      </c>
      <c r="D44" s="117"/>
      <c r="E44" s="117"/>
      <c r="F44" s="117"/>
    </row>
    <row r="45" spans="1:7" x14ac:dyDescent="0.3">
      <c r="A45" s="96">
        <v>15</v>
      </c>
      <c r="B45" s="106" t="s">
        <v>64</v>
      </c>
      <c r="C45" s="107" t="s">
        <v>65</v>
      </c>
      <c r="D45" s="117"/>
      <c r="E45" s="117"/>
      <c r="F45" s="117"/>
    </row>
    <row r="46" spans="1:7" x14ac:dyDescent="0.3">
      <c r="A46" s="1074">
        <v>16</v>
      </c>
      <c r="B46" s="1076" t="s">
        <v>66</v>
      </c>
      <c r="C46" s="108" t="s">
        <v>67</v>
      </c>
      <c r="D46" s="117"/>
      <c r="E46" s="117"/>
      <c r="F46" s="117"/>
    </row>
    <row r="47" spans="1:7" x14ac:dyDescent="0.3">
      <c r="A47" s="1081"/>
      <c r="B47" s="1083"/>
      <c r="C47" s="103" t="s">
        <v>68</v>
      </c>
      <c r="D47" s="117"/>
      <c r="E47" s="117"/>
      <c r="F47" s="117"/>
    </row>
    <row r="48" spans="1:7" x14ac:dyDescent="0.3">
      <c r="A48" s="1082"/>
      <c r="B48" s="1084"/>
      <c r="C48" s="311" t="s">
        <v>69</v>
      </c>
      <c r="D48" s="291" t="s">
        <v>1219</v>
      </c>
      <c r="E48" s="289"/>
      <c r="F48" s="289"/>
    </row>
    <row r="49" spans="1:6" ht="30.75" customHeight="1" x14ac:dyDescent="0.3">
      <c r="A49" s="447">
        <v>17</v>
      </c>
      <c r="B49" s="97" t="s">
        <v>70</v>
      </c>
      <c r="C49" s="98" t="s">
        <v>71</v>
      </c>
      <c r="D49" s="1078" t="s">
        <v>768</v>
      </c>
      <c r="E49" s="1078"/>
      <c r="F49" s="1078"/>
    </row>
    <row r="50" spans="1:6" x14ac:dyDescent="0.3">
      <c r="A50" s="96">
        <v>18</v>
      </c>
      <c r="B50" s="106" t="s">
        <v>72</v>
      </c>
      <c r="C50" s="107" t="s">
        <v>73</v>
      </c>
      <c r="D50" s="117"/>
      <c r="E50" s="117"/>
      <c r="F50" s="117"/>
    </row>
    <row r="51" spans="1:6" x14ac:dyDescent="0.3">
      <c r="A51" s="1081">
        <v>19</v>
      </c>
      <c r="B51" s="1076" t="s">
        <v>74</v>
      </c>
      <c r="C51" s="103" t="s">
        <v>75</v>
      </c>
      <c r="D51" s="117"/>
      <c r="E51" s="117"/>
      <c r="F51" s="117"/>
    </row>
    <row r="52" spans="1:6" x14ac:dyDescent="0.3">
      <c r="A52" s="1081"/>
      <c r="B52" s="1083"/>
      <c r="C52" s="103" t="s">
        <v>76</v>
      </c>
      <c r="D52" s="117"/>
      <c r="E52" s="117"/>
      <c r="F52" s="117"/>
    </row>
    <row r="53" spans="1:6" x14ac:dyDescent="0.3">
      <c r="A53" s="1081"/>
      <c r="B53" s="1084"/>
      <c r="C53" s="103" t="s">
        <v>77</v>
      </c>
      <c r="D53" s="117"/>
      <c r="E53" s="117"/>
      <c r="F53" s="117"/>
    </row>
    <row r="54" spans="1:6" x14ac:dyDescent="0.3">
      <c r="A54" s="96">
        <v>20</v>
      </c>
      <c r="B54" s="106" t="s">
        <v>78</v>
      </c>
      <c r="C54" s="107" t="s">
        <v>79</v>
      </c>
      <c r="D54" s="117"/>
      <c r="E54" s="117"/>
      <c r="F54" s="117">
        <f>(1600/7)*3.75</f>
        <v>857.14285714285722</v>
      </c>
    </row>
    <row r="55" spans="1:6" x14ac:dyDescent="0.3">
      <c r="A55" s="1074">
        <v>21</v>
      </c>
      <c r="B55" s="1076" t="s">
        <v>80</v>
      </c>
      <c r="C55" s="108" t="s">
        <v>81</v>
      </c>
      <c r="D55" s="117"/>
      <c r="E55" s="117"/>
      <c r="F55" s="117"/>
    </row>
    <row r="56" spans="1:6" ht="14.5" thickBot="1" x14ac:dyDescent="0.35">
      <c r="A56" s="1075"/>
      <c r="B56" s="1077"/>
      <c r="C56" s="109" t="s">
        <v>82</v>
      </c>
      <c r="D56" s="117"/>
      <c r="E56" s="117"/>
      <c r="F56" s="117"/>
    </row>
    <row r="57" spans="1:6" ht="14.5" thickTop="1" x14ac:dyDescent="0.3">
      <c r="B57" s="110" t="str">
        <f>"Total programs = " &amp; COUNTA(B4:B56)</f>
        <v>Total programs = 21</v>
      </c>
      <c r="C57" s="110" t="str">
        <f>"Total Facilities = " &amp; COUNTA(C4:C56)</f>
        <v>Total Facilities = 53</v>
      </c>
      <c r="D57" s="117"/>
      <c r="E57" s="117"/>
      <c r="F57" s="117"/>
    </row>
    <row r="58" spans="1:6" x14ac:dyDescent="0.3">
      <c r="A58" s="28"/>
      <c r="B58" s="111"/>
      <c r="C58" s="28"/>
      <c r="D58" s="167"/>
      <c r="E58" s="167"/>
      <c r="F58" s="167"/>
    </row>
    <row r="59" spans="1:6" x14ac:dyDescent="0.3">
      <c r="A59" s="112" t="s">
        <v>83</v>
      </c>
      <c r="B59" s="112"/>
      <c r="C59" s="112"/>
      <c r="D59" s="112"/>
      <c r="E59" s="112"/>
      <c r="F59" s="112"/>
    </row>
    <row r="60" spans="1:6" x14ac:dyDescent="0.3">
      <c r="A60" s="117"/>
      <c r="B60" s="275" t="s">
        <v>84</v>
      </c>
      <c r="C60" s="117"/>
      <c r="D60" s="117"/>
      <c r="E60" s="117"/>
      <c r="F60" s="117"/>
    </row>
    <row r="61" spans="1:6" x14ac:dyDescent="0.3">
      <c r="A61" s="276">
        <v>1</v>
      </c>
      <c r="B61" s="312" t="s">
        <v>774</v>
      </c>
      <c r="C61" s="313" t="s">
        <v>682</v>
      </c>
      <c r="D61" s="314"/>
      <c r="E61" s="314"/>
      <c r="F61" s="263"/>
    </row>
    <row r="62" spans="1:6" x14ac:dyDescent="0.3">
      <c r="A62" s="117"/>
      <c r="B62" s="117"/>
      <c r="C62" s="117"/>
      <c r="D62" s="117"/>
      <c r="E62" s="117"/>
      <c r="F62" s="117"/>
    </row>
    <row r="63" spans="1:6" x14ac:dyDescent="0.3">
      <c r="A63" s="117"/>
      <c r="B63" s="275"/>
      <c r="C63" s="117"/>
      <c r="D63" s="117"/>
      <c r="E63" s="117"/>
      <c r="F63" s="117"/>
    </row>
    <row r="64" spans="1:6" x14ac:dyDescent="0.3">
      <c r="A64" s="117"/>
      <c r="B64" s="277"/>
      <c r="C64" s="117"/>
      <c r="D64" s="117"/>
      <c r="E64" s="117"/>
      <c r="F64" s="117"/>
    </row>
    <row r="65" spans="2:2" x14ac:dyDescent="0.3">
      <c r="B65" s="113"/>
    </row>
    <row r="123" spans="2:22" x14ac:dyDescent="0.3">
      <c r="B123" s="28"/>
      <c r="C123" s="28"/>
      <c r="D123" s="28"/>
      <c r="E123" s="28"/>
      <c r="F123" s="28"/>
      <c r="G123" s="28"/>
      <c r="H123" s="28"/>
      <c r="I123" s="28"/>
      <c r="J123" s="28"/>
      <c r="K123" s="28"/>
      <c r="L123" s="28"/>
      <c r="M123" s="28"/>
      <c r="N123" s="28"/>
      <c r="O123" s="28"/>
      <c r="P123" s="28"/>
      <c r="Q123" s="28"/>
    </row>
    <row r="126" spans="2:22" x14ac:dyDescent="0.3">
      <c r="B126" s="24"/>
      <c r="V126">
        <v>0</v>
      </c>
    </row>
    <row r="127" spans="2:22" x14ac:dyDescent="0.3">
      <c r="B127" s="24"/>
      <c r="V127">
        <v>0</v>
      </c>
    </row>
    <row r="128" spans="2:22" x14ac:dyDescent="0.3">
      <c r="B128" s="24"/>
      <c r="V128">
        <v>1</v>
      </c>
    </row>
  </sheetData>
  <mergeCells count="21">
    <mergeCell ref="F4:F5"/>
    <mergeCell ref="B18:B21"/>
    <mergeCell ref="A23:A28"/>
    <mergeCell ref="B23:B28"/>
    <mergeCell ref="B6:B17"/>
    <mergeCell ref="A18:A21"/>
    <mergeCell ref="A6:A17"/>
    <mergeCell ref="A55:A56"/>
    <mergeCell ref="B55:B56"/>
    <mergeCell ref="D49:F49"/>
    <mergeCell ref="D29:E31"/>
    <mergeCell ref="A29:A31"/>
    <mergeCell ref="B29:B31"/>
    <mergeCell ref="A40:A43"/>
    <mergeCell ref="B40:B43"/>
    <mergeCell ref="B33:B36"/>
    <mergeCell ref="A33:A36"/>
    <mergeCell ref="A46:A48"/>
    <mergeCell ref="B46:B48"/>
    <mergeCell ref="A51:A53"/>
    <mergeCell ref="B51:B53"/>
  </mergeCells>
  <pageMargins left="0.7" right="0.7" top="0.75" bottom="0.75" header="0.3" footer="0.3"/>
  <pageSetup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N55"/>
  <sheetViews>
    <sheetView tabSelected="1" view="pageBreakPreview" zoomScaleNormal="80" zoomScaleSheetLayoutView="100" workbookViewId="0">
      <pane xSplit="3" ySplit="4" topLeftCell="D5" activePane="bottomRight" state="frozen"/>
      <selection activeCell="Q31" sqref="Q31"/>
      <selection pane="topRight" activeCell="Q31" sqref="Q31"/>
      <selection pane="bottomLeft" activeCell="Q31" sqref="Q31"/>
      <selection pane="bottomRight" activeCell="I15" sqref="I15"/>
    </sheetView>
  </sheetViews>
  <sheetFormatPr defaultRowHeight="14" x14ac:dyDescent="0.3"/>
  <cols>
    <col min="1" max="1" width="2.4140625" customWidth="1"/>
    <col min="2" max="2" width="6.4140625" customWidth="1"/>
    <col min="3" max="3" width="27.9140625" customWidth="1"/>
    <col min="4" max="4" width="11.6640625" style="1" customWidth="1"/>
    <col min="5" max="5" width="14.6640625" customWidth="1"/>
    <col min="6" max="6" width="14.58203125" customWidth="1"/>
    <col min="7" max="7" width="1.6640625" customWidth="1"/>
    <col min="8" max="8" width="13.4140625" customWidth="1"/>
    <col min="9" max="9" width="12.5" customWidth="1"/>
    <col min="10" max="10" width="11" customWidth="1"/>
    <col min="11" max="11" width="8.6640625" customWidth="1"/>
    <col min="12" max="12" width="2.5" customWidth="1"/>
    <col min="13" max="13" width="10.08203125" bestFit="1" customWidth="1"/>
  </cols>
  <sheetData>
    <row r="1" spans="1:14" ht="11" customHeight="1" thickBot="1" x14ac:dyDescent="0.35">
      <c r="A1" s="1053"/>
      <c r="B1" s="117"/>
      <c r="C1" s="117"/>
      <c r="D1" s="17"/>
      <c r="E1" s="117"/>
      <c r="F1" s="117"/>
      <c r="G1" s="117"/>
      <c r="H1" s="1190" t="s">
        <v>1129</v>
      </c>
      <c r="I1" s="1183" t="s">
        <v>543</v>
      </c>
      <c r="J1" s="117"/>
      <c r="K1" s="117"/>
      <c r="L1" s="117"/>
    </row>
    <row r="2" spans="1:14" ht="16.5" customHeight="1" x14ac:dyDescent="0.3">
      <c r="A2" s="1053"/>
      <c r="B2" s="1055" t="s">
        <v>840</v>
      </c>
      <c r="C2" s="1056"/>
      <c r="D2" s="1057"/>
      <c r="E2" s="1056"/>
      <c r="F2" s="1058"/>
      <c r="G2" s="172"/>
      <c r="H2" s="1191"/>
      <c r="I2" s="1184"/>
      <c r="J2" s="172"/>
      <c r="K2" s="172"/>
      <c r="L2" s="117"/>
    </row>
    <row r="3" spans="1:14" x14ac:dyDescent="0.3">
      <c r="A3" s="1053"/>
      <c r="B3" s="1193" t="s">
        <v>623</v>
      </c>
      <c r="C3" s="1195" t="s">
        <v>624</v>
      </c>
      <c r="D3" s="1200" t="s">
        <v>625</v>
      </c>
      <c r="E3" s="1186" t="s">
        <v>626</v>
      </c>
      <c r="F3" s="1189" t="str">
        <f>"Cost at $"&amp;'Data '!C56&amp;"/hour"</f>
        <v>Cost at $300/hour</v>
      </c>
      <c r="G3" s="172"/>
      <c r="H3" s="1186" t="s">
        <v>626</v>
      </c>
      <c r="I3" s="1186" t="s">
        <v>626</v>
      </c>
      <c r="J3" s="1186" t="s">
        <v>627</v>
      </c>
      <c r="K3" s="1186" t="s">
        <v>628</v>
      </c>
      <c r="L3" s="117"/>
    </row>
    <row r="4" spans="1:14" x14ac:dyDescent="0.3">
      <c r="A4" s="1053"/>
      <c r="B4" s="1193"/>
      <c r="C4" s="1195"/>
      <c r="D4" s="1201"/>
      <c r="E4" s="1186"/>
      <c r="F4" s="1189"/>
      <c r="G4" s="172"/>
      <c r="H4" s="1186"/>
      <c r="I4" s="1186"/>
      <c r="J4" s="1186"/>
      <c r="K4" s="1186"/>
      <c r="L4" s="117"/>
    </row>
    <row r="5" spans="1:14" x14ac:dyDescent="0.3">
      <c r="A5" s="1053"/>
      <c r="B5" s="811">
        <v>1</v>
      </c>
      <c r="C5" s="1059" t="s">
        <v>629</v>
      </c>
      <c r="D5" s="1060">
        <f>(T1_1X_Rcdkping!H16) + (T1_1X_Rcdkping!H27)</f>
        <v>7</v>
      </c>
      <c r="E5" s="628">
        <f>T1_1X_Rcdkping!J37</f>
        <v>2192</v>
      </c>
      <c r="F5" s="1061">
        <f>E5*'Data '!$C$56</f>
        <v>657600</v>
      </c>
      <c r="G5" s="172"/>
      <c r="H5" s="628">
        <f>T1_1X_Rcdkping!G37 + 376</f>
        <v>466.66666666666663</v>
      </c>
      <c r="I5" s="628">
        <f>E5</f>
        <v>2192</v>
      </c>
      <c r="J5" s="628">
        <f>I5-H5</f>
        <v>1725.3333333333335</v>
      </c>
      <c r="K5" s="629">
        <f>J5/H5</f>
        <v>3.697142857142858</v>
      </c>
      <c r="L5" s="117"/>
    </row>
    <row r="6" spans="1:14" x14ac:dyDescent="0.3">
      <c r="A6" s="1053"/>
      <c r="B6" s="811">
        <v>2</v>
      </c>
      <c r="C6" s="1059" t="s">
        <v>630</v>
      </c>
      <c r="D6" s="1062">
        <f>Num_FFD_Prgms_Total + Num_Fatigue_Programs</f>
        <v>49</v>
      </c>
      <c r="E6" s="628">
        <f>T2_Ann_Rcdkping!J223</f>
        <v>167554.0866666667</v>
      </c>
      <c r="F6" s="1061">
        <f>E6*'Data '!$C$56</f>
        <v>50266226.000000007</v>
      </c>
      <c r="G6" s="172"/>
      <c r="H6" s="628">
        <f>T2_Ann_Rcdkping!G223 + 748</f>
        <v>181815.47046296301</v>
      </c>
      <c r="I6" s="628">
        <f>E6</f>
        <v>167554.0866666667</v>
      </c>
      <c r="J6" s="628">
        <f>I6-H6</f>
        <v>-14261.383796296315</v>
      </c>
      <c r="K6" s="629">
        <f>J6/H6</f>
        <v>-7.8438780594313903E-2</v>
      </c>
      <c r="L6" s="117"/>
    </row>
    <row r="7" spans="1:14" x14ac:dyDescent="0.3">
      <c r="A7" s="1053"/>
      <c r="B7" s="811">
        <v>3</v>
      </c>
      <c r="C7" s="1059" t="s">
        <v>631</v>
      </c>
      <c r="D7" s="1060">
        <f>T3_AnnRpting!L17</f>
        <v>254.33333333333331</v>
      </c>
      <c r="E7" s="628">
        <f>T3_AnnRpting!N17</f>
        <v>5300.666666666667</v>
      </c>
      <c r="F7" s="1061">
        <f>E7*'Data '!$C$56</f>
        <v>1590200</v>
      </c>
      <c r="G7" s="172"/>
      <c r="H7" s="755">
        <f>T3_AnnRpting!I17 + 63</f>
        <v>5409.666666666667</v>
      </c>
      <c r="I7" s="628">
        <f>E7</f>
        <v>5300.666666666667</v>
      </c>
      <c r="J7" s="628">
        <f>I7-H7</f>
        <v>-109</v>
      </c>
      <c r="K7" s="629">
        <f>J7/H7</f>
        <v>-2.0149115780393124E-2</v>
      </c>
      <c r="L7" s="117"/>
    </row>
    <row r="8" spans="1:14" ht="14.5" thickBot="1" x14ac:dyDescent="0.35">
      <c r="A8" s="1053"/>
      <c r="B8" s="1063">
        <v>4</v>
      </c>
      <c r="C8" s="1064" t="s">
        <v>632</v>
      </c>
      <c r="D8" s="1065">
        <f>T4_Ann_3rdParty!H98</f>
        <v>324343</v>
      </c>
      <c r="E8" s="630">
        <f>T4_Ann_3rdParty!J98</f>
        <v>365003</v>
      </c>
      <c r="F8" s="1066">
        <f>E8*'Data '!$C$56</f>
        <v>109500900</v>
      </c>
      <c r="G8" s="172"/>
      <c r="H8" s="770">
        <f>ROUNDDOWN(T4_Ann_3rdParty!G98,1) + 235 + 250</f>
        <v>411956.1</v>
      </c>
      <c r="I8" s="630">
        <f t="shared" ref="I8" si="0">E8</f>
        <v>365003</v>
      </c>
      <c r="J8" s="630">
        <f>I8-H8</f>
        <v>-46953.099999999977</v>
      </c>
      <c r="K8" s="631">
        <f>J8/H8</f>
        <v>-0.1139759794793668</v>
      </c>
      <c r="L8" s="117"/>
    </row>
    <row r="9" spans="1:14" s="170" customFormat="1" ht="15" thickTop="1" thickBot="1" x14ac:dyDescent="0.35">
      <c r="A9" s="1070"/>
      <c r="B9" s="1198" t="s">
        <v>633</v>
      </c>
      <c r="C9" s="1199"/>
      <c r="D9" s="1067">
        <f>SUM(D6:D8)</f>
        <v>324646.33333333331</v>
      </c>
      <c r="E9" s="1068">
        <f>SUM(E5:E8)</f>
        <v>540049.75333333341</v>
      </c>
      <c r="F9" s="1069">
        <f>SUM(F5:F8)</f>
        <v>162014926</v>
      </c>
      <c r="G9" s="172"/>
      <c r="H9" s="627">
        <f>SUM(H5:H8)</f>
        <v>599647.90379629633</v>
      </c>
      <c r="I9" s="627">
        <f>SUM(I5:I8)</f>
        <v>540049.75333333341</v>
      </c>
      <c r="J9" s="304">
        <f>SUM(J5:J8)</f>
        <v>-59598.150462962956</v>
      </c>
      <c r="K9" s="305">
        <f>J9/H9</f>
        <v>-9.9388574671327085E-2</v>
      </c>
      <c r="L9" s="172"/>
    </row>
    <row r="10" spans="1:14" ht="9" customHeight="1" x14ac:dyDescent="0.3">
      <c r="A10" s="1053"/>
      <c r="B10" s="117"/>
      <c r="C10" s="117"/>
      <c r="D10" s="17"/>
      <c r="E10" s="117"/>
      <c r="F10" s="1053"/>
      <c r="G10" s="1053"/>
      <c r="H10" s="1053"/>
      <c r="I10" s="1053"/>
      <c r="J10" s="1053"/>
      <c r="K10" s="1053"/>
      <c r="L10" s="1053"/>
      <c r="M10" s="46"/>
    </row>
    <row r="11" spans="1:14" x14ac:dyDescent="0.3">
      <c r="A11" s="1053"/>
      <c r="B11" s="117"/>
      <c r="C11" s="117"/>
      <c r="D11" s="192" t="s">
        <v>634</v>
      </c>
      <c r="E11" s="17">
        <f>E5 +E6</f>
        <v>169746.0866666667</v>
      </c>
      <c r="F11" s="1053"/>
      <c r="G11" s="1053"/>
      <c r="H11" s="1053"/>
      <c r="I11" s="1053"/>
      <c r="J11" s="1053"/>
      <c r="K11" s="1053"/>
      <c r="L11" s="1053"/>
    </row>
    <row r="12" spans="1:14" ht="14.25" customHeight="1" x14ac:dyDescent="0.3">
      <c r="A12" s="1053"/>
      <c r="B12" s="117"/>
      <c r="C12" s="117"/>
      <c r="D12" s="192" t="s">
        <v>635</v>
      </c>
      <c r="E12" s="284">
        <f>E11 * (0.0004) * NRC_Labor_Rate</f>
        <v>20369.530400000007</v>
      </c>
      <c r="F12" s="1053"/>
      <c r="G12" s="1053"/>
      <c r="H12" s="1053"/>
      <c r="I12" s="1053"/>
      <c r="J12" s="1053"/>
      <c r="K12" s="1053"/>
      <c r="L12" s="1053"/>
    </row>
    <row r="13" spans="1:14" ht="14.5" thickBot="1" x14ac:dyDescent="0.35">
      <c r="A13" s="1053"/>
      <c r="B13" s="117"/>
      <c r="C13" s="117"/>
      <c r="D13" s="17"/>
      <c r="E13" s="285"/>
      <c r="F13" s="1053"/>
      <c r="G13" s="1053"/>
      <c r="H13" s="1053"/>
      <c r="I13" s="1053"/>
      <c r="J13" s="1053"/>
      <c r="K13" s="1053"/>
      <c r="L13" s="1053"/>
    </row>
    <row r="14" spans="1:14" x14ac:dyDescent="0.3">
      <c r="A14" s="1053"/>
      <c r="B14" s="1192" t="s">
        <v>623</v>
      </c>
      <c r="C14" s="1194" t="s">
        <v>624</v>
      </c>
      <c r="D14" s="1196" t="s">
        <v>636</v>
      </c>
      <c r="E14" s="1187" t="s">
        <v>626</v>
      </c>
      <c r="F14" s="1188" t="str">
        <f>F3</f>
        <v>Cost at $300/hour</v>
      </c>
      <c r="G14" s="1053"/>
      <c r="H14" s="1053"/>
      <c r="I14" s="1053"/>
      <c r="J14" s="1053"/>
      <c r="K14" s="1053"/>
      <c r="L14" s="1053"/>
      <c r="N14" s="787"/>
    </row>
    <row r="15" spans="1:14" x14ac:dyDescent="0.3">
      <c r="A15" s="1053"/>
      <c r="B15" s="1193"/>
      <c r="C15" s="1195"/>
      <c r="D15" s="1197"/>
      <c r="E15" s="1186"/>
      <c r="F15" s="1189"/>
      <c r="G15" s="1053"/>
      <c r="H15" s="1053"/>
      <c r="I15" s="1053"/>
      <c r="J15" s="1053"/>
      <c r="K15" s="1053"/>
      <c r="L15" s="1053"/>
    </row>
    <row r="16" spans="1:14" ht="14.5" thickBot="1" x14ac:dyDescent="0.35">
      <c r="A16" s="1053"/>
      <c r="B16" s="632">
        <v>5</v>
      </c>
      <c r="C16" s="633" t="s">
        <v>637</v>
      </c>
      <c r="D16" s="634">
        <f>T5_Ann_NRC!H15</f>
        <v>169.33333333333331</v>
      </c>
      <c r="E16" s="635">
        <f>T5_Ann_NRC!J15</f>
        <v>1213.0833333333333</v>
      </c>
      <c r="F16" s="636">
        <f>E16*NRC_Labor_Rate</f>
        <v>363925</v>
      </c>
      <c r="G16" s="1070"/>
      <c r="H16" s="1053"/>
      <c r="I16" s="1053"/>
      <c r="J16" s="1053"/>
      <c r="K16" s="1053"/>
      <c r="L16" s="1053"/>
    </row>
    <row r="17" spans="1:12" ht="8.4" customHeight="1" x14ac:dyDescent="0.3">
      <c r="A17" s="1053"/>
      <c r="B17" s="1053"/>
      <c r="C17" s="117"/>
      <c r="D17" s="17"/>
      <c r="E17" s="117"/>
      <c r="F17" s="117"/>
      <c r="G17" s="1053"/>
      <c r="H17" s="1053"/>
      <c r="I17" s="1053"/>
      <c r="J17" s="1053"/>
      <c r="K17" s="1053"/>
      <c r="L17" s="1053"/>
    </row>
    <row r="18" spans="1:12" ht="6" customHeight="1" thickBot="1" x14ac:dyDescent="0.35">
      <c r="A18" s="1053"/>
      <c r="B18" s="1053"/>
      <c r="C18" s="117"/>
      <c r="D18" s="17"/>
      <c r="E18" s="117"/>
      <c r="F18" s="117"/>
      <c r="G18" s="1053"/>
      <c r="H18" s="1053"/>
      <c r="I18" s="1053"/>
      <c r="J18" s="1053"/>
      <c r="K18" s="1053"/>
      <c r="L18" s="1053"/>
    </row>
    <row r="19" spans="1:12" ht="28" x14ac:dyDescent="0.3">
      <c r="A19" s="1053"/>
      <c r="B19" s="1053"/>
      <c r="C19" s="481" t="s">
        <v>638</v>
      </c>
      <c r="D19" s="197"/>
      <c r="E19" s="198"/>
      <c r="F19" s="198"/>
      <c r="G19" s="199"/>
      <c r="H19" s="798" t="str">
        <f>H$1</f>
        <v>Previous ROCIS Total</v>
      </c>
      <c r="I19" s="757" t="str">
        <f>$I$1</f>
        <v>2024-2027</v>
      </c>
      <c r="J19" s="1053"/>
      <c r="K19" s="1053"/>
      <c r="L19" s="1053"/>
    </row>
    <row r="20" spans="1:12" x14ac:dyDescent="0.3">
      <c r="A20" s="1053"/>
      <c r="B20" s="1053"/>
      <c r="C20" s="639" t="s">
        <v>296</v>
      </c>
      <c r="D20" s="190"/>
      <c r="E20" s="190"/>
      <c r="F20" s="117"/>
      <c r="G20" s="117"/>
      <c r="H20" s="172">
        <v>24</v>
      </c>
      <c r="I20" s="637">
        <f>Num_FFD_Prgms_Full</f>
        <v>24</v>
      </c>
      <c r="J20" s="1053"/>
      <c r="K20" s="1053"/>
      <c r="L20" s="1053"/>
    </row>
    <row r="21" spans="1:12" x14ac:dyDescent="0.3">
      <c r="A21" s="1053"/>
      <c r="B21" s="1053"/>
      <c r="C21" s="639" t="s">
        <v>639</v>
      </c>
      <c r="D21" s="190"/>
      <c r="E21" s="190"/>
      <c r="F21" s="117"/>
      <c r="G21" s="117"/>
      <c r="H21" s="172">
        <v>1</v>
      </c>
      <c r="I21" s="637">
        <f>Num_FFD_Prgms_SubK</f>
        <v>4</v>
      </c>
      <c r="J21" s="1053"/>
      <c r="K21" s="1053"/>
      <c r="L21" s="1053"/>
    </row>
    <row r="22" spans="1:12" x14ac:dyDescent="0.3">
      <c r="A22" s="1053"/>
      <c r="B22" s="1053"/>
      <c r="C22" s="640" t="s">
        <v>334</v>
      </c>
      <c r="D22" s="189"/>
      <c r="E22" s="189"/>
      <c r="F22" s="167"/>
      <c r="G22" s="167"/>
      <c r="H22" s="584">
        <v>21</v>
      </c>
      <c r="I22" s="638">
        <f>Num_Fatigue_Programs</f>
        <v>21</v>
      </c>
      <c r="J22" s="1053"/>
      <c r="K22" s="1053"/>
      <c r="L22" s="1053"/>
    </row>
    <row r="23" spans="1:12" x14ac:dyDescent="0.3">
      <c r="A23" s="1053"/>
      <c r="B23" s="1053"/>
      <c r="C23" s="640" t="s">
        <v>1217</v>
      </c>
      <c r="D23" s="189"/>
      <c r="E23" s="189"/>
      <c r="F23" s="167"/>
      <c r="G23" s="167"/>
      <c r="H23" s="799">
        <f>ROUND(SUM(H24:H29),0)</f>
        <v>70514</v>
      </c>
      <c r="I23" s="804">
        <f>ROUNDUP(SUM(I24:I29),0)</f>
        <v>64343</v>
      </c>
      <c r="J23" s="1053"/>
      <c r="K23" s="1053"/>
      <c r="L23" s="1053"/>
    </row>
    <row r="24" spans="1:12" x14ac:dyDescent="0.3">
      <c r="A24" s="1053"/>
      <c r="B24" s="1053"/>
      <c r="C24" s="191"/>
      <c r="D24" s="117"/>
      <c r="E24" s="190"/>
      <c r="F24" s="641" t="s">
        <v>640</v>
      </c>
      <c r="G24" s="117"/>
      <c r="H24" s="800">
        <v>68285.166666666672</v>
      </c>
      <c r="I24" s="805">
        <f>ROUND(Num_PreAccess_Tests,0)</f>
        <v>60257</v>
      </c>
      <c r="J24" s="1053"/>
      <c r="K24" s="1053"/>
      <c r="L24" s="1053"/>
    </row>
    <row r="25" spans="1:12" x14ac:dyDescent="0.3">
      <c r="A25" s="1053"/>
      <c r="B25" s="1053"/>
      <c r="C25" s="191"/>
      <c r="D25" s="190"/>
      <c r="E25" s="117"/>
      <c r="F25" s="642" t="s">
        <v>641</v>
      </c>
      <c r="G25" s="117"/>
      <c r="H25" s="800">
        <v>2171.2222222222222</v>
      </c>
      <c r="I25" s="805">
        <f>ROUND('Data '!D24,0)</f>
        <v>4028</v>
      </c>
      <c r="J25" s="1053"/>
      <c r="K25" s="1053"/>
      <c r="L25" s="1053"/>
    </row>
    <row r="26" spans="1:12" x14ac:dyDescent="0.3">
      <c r="A26" s="1053"/>
      <c r="B26" s="1053"/>
      <c r="C26" s="191"/>
      <c r="D26" s="190"/>
      <c r="E26" s="117"/>
      <c r="F26" s="642" t="s">
        <v>311</v>
      </c>
      <c r="G26" s="117"/>
      <c r="H26" s="800">
        <v>9</v>
      </c>
      <c r="I26" s="805">
        <f>Num_HHS_Labs</f>
        <v>9</v>
      </c>
      <c r="J26" s="1053"/>
      <c r="K26" s="1053"/>
      <c r="L26" s="1053"/>
    </row>
    <row r="27" spans="1:12" x14ac:dyDescent="0.3">
      <c r="A27" s="1053"/>
      <c r="B27" s="1053"/>
      <c r="C27" s="191"/>
      <c r="D27" s="190"/>
      <c r="E27" s="117"/>
      <c r="F27" s="642" t="s">
        <v>642</v>
      </c>
      <c r="G27" s="117"/>
      <c r="H27" s="800">
        <v>1</v>
      </c>
      <c r="I27" s="805">
        <v>1</v>
      </c>
      <c r="J27" s="1053"/>
      <c r="K27" s="1053"/>
      <c r="L27" s="1053"/>
    </row>
    <row r="28" spans="1:12" x14ac:dyDescent="0.3">
      <c r="A28" s="1053"/>
      <c r="B28" s="1053"/>
      <c r="C28" s="191"/>
      <c r="D28" s="190"/>
      <c r="E28" s="117"/>
      <c r="F28" s="642" t="s">
        <v>643</v>
      </c>
      <c r="G28" s="117"/>
      <c r="H28" s="800">
        <v>24</v>
      </c>
      <c r="I28" s="805">
        <v>24</v>
      </c>
      <c r="J28" s="1053"/>
      <c r="K28" s="1053"/>
      <c r="L28" s="1053"/>
    </row>
    <row r="29" spans="1:12" ht="14.5" thickBot="1" x14ac:dyDescent="0.35">
      <c r="A29" s="1053"/>
      <c r="B29" s="1053"/>
      <c r="C29" s="200"/>
      <c r="D29" s="201"/>
      <c r="E29" s="202"/>
      <c r="F29" s="643" t="s">
        <v>644</v>
      </c>
      <c r="G29" s="202"/>
      <c r="H29" s="801">
        <v>24</v>
      </c>
      <c r="I29" s="806">
        <v>24</v>
      </c>
      <c r="J29" s="1053"/>
      <c r="K29" s="1053"/>
      <c r="L29" s="1053"/>
    </row>
    <row r="30" spans="1:12" ht="15" thickTop="1" thickBot="1" x14ac:dyDescent="0.35">
      <c r="A30" s="1053"/>
      <c r="B30" s="1053"/>
      <c r="C30" s="193"/>
      <c r="D30" s="194"/>
      <c r="E30" s="195"/>
      <c r="F30" s="644" t="s">
        <v>645</v>
      </c>
      <c r="G30" s="195"/>
      <c r="H30" s="802">
        <f>SUM(H20:H23)</f>
        <v>70560</v>
      </c>
      <c r="I30" s="807">
        <f>SUM(I20:I23)</f>
        <v>64392</v>
      </c>
      <c r="J30" s="1053"/>
      <c r="K30" s="1053"/>
      <c r="L30" s="1053"/>
    </row>
    <row r="31" spans="1:12" ht="14.5" thickBot="1" x14ac:dyDescent="0.35">
      <c r="A31" s="1053"/>
      <c r="B31" s="1053"/>
      <c r="C31" s="117"/>
      <c r="D31" s="17"/>
      <c r="E31" s="117"/>
      <c r="F31" s="117"/>
      <c r="G31" s="117"/>
      <c r="H31" s="117"/>
      <c r="I31" s="117"/>
      <c r="J31" s="1053"/>
      <c r="K31" s="1053"/>
      <c r="L31" s="1053"/>
    </row>
    <row r="32" spans="1:12" ht="28" x14ac:dyDescent="0.3">
      <c r="A32" s="1053"/>
      <c r="B32" s="1053"/>
      <c r="C32" s="481" t="s">
        <v>646</v>
      </c>
      <c r="D32" s="197"/>
      <c r="E32" s="198"/>
      <c r="F32" s="198"/>
      <c r="G32" s="199"/>
      <c r="H32" s="808" t="str">
        <f>H$1</f>
        <v>Previous ROCIS Total</v>
      </c>
      <c r="I32" s="803" t="str">
        <f>$I$1</f>
        <v>2024-2027</v>
      </c>
      <c r="J32" s="1053"/>
      <c r="K32" s="1053"/>
      <c r="L32" s="1053"/>
    </row>
    <row r="33" spans="1:12" x14ac:dyDescent="0.3">
      <c r="A33" s="1053"/>
      <c r="B33" s="1053"/>
      <c r="C33" s="203" t="s">
        <v>1215</v>
      </c>
      <c r="D33" s="190"/>
      <c r="E33" s="117"/>
      <c r="F33" s="117"/>
      <c r="G33" s="117"/>
      <c r="H33" s="190">
        <f>46 - 40 + 24</f>
        <v>30</v>
      </c>
      <c r="I33" s="204">
        <f>D6</f>
        <v>49</v>
      </c>
      <c r="J33" s="1053"/>
      <c r="K33" s="1053"/>
      <c r="L33" s="1053"/>
    </row>
    <row r="34" spans="1:12" x14ac:dyDescent="0.3">
      <c r="A34" s="1053"/>
      <c r="B34" s="1053"/>
      <c r="C34" s="203" t="s">
        <v>1216</v>
      </c>
      <c r="D34" s="190"/>
      <c r="E34" s="117"/>
      <c r="F34" s="117"/>
      <c r="G34" s="117"/>
      <c r="H34" s="190">
        <f>298.333 + 40 + 60</f>
        <v>398.33300000000003</v>
      </c>
      <c r="I34" s="204">
        <f>T3_AnnRpting!L17</f>
        <v>254.33333333333331</v>
      </c>
      <c r="J34" s="1053"/>
      <c r="K34" s="1053"/>
      <c r="L34" s="1053"/>
    </row>
    <row r="35" spans="1:12" ht="14.5" thickBot="1" x14ac:dyDescent="0.35">
      <c r="A35" s="1053"/>
      <c r="B35" s="1053"/>
      <c r="C35" s="205" t="s">
        <v>1218</v>
      </c>
      <c r="D35" s="201"/>
      <c r="E35" s="202"/>
      <c r="F35" s="202"/>
      <c r="G35" s="202"/>
      <c r="H35" s="201">
        <f>366312.3 + 1962</f>
        <v>368274.3</v>
      </c>
      <c r="I35" s="206">
        <f>T4_Ann_3rdParty!H98</f>
        <v>324343</v>
      </c>
      <c r="J35" s="1053"/>
      <c r="K35" s="1053"/>
      <c r="L35" s="1053"/>
    </row>
    <row r="36" spans="1:12" ht="15" thickTop="1" thickBot="1" x14ac:dyDescent="0.35">
      <c r="A36" s="1053"/>
      <c r="B36" s="1053"/>
      <c r="C36" s="193"/>
      <c r="D36" s="194"/>
      <c r="E36" s="195"/>
      <c r="F36" s="196" t="s">
        <v>647</v>
      </c>
      <c r="G36" s="195"/>
      <c r="H36" s="809">
        <f>SUM(H33:H35)</f>
        <v>368702.63299999997</v>
      </c>
      <c r="I36" s="207">
        <f>SUM(I33:I35)</f>
        <v>324646.33333333331</v>
      </c>
      <c r="J36" s="1071"/>
      <c r="K36" s="1053"/>
      <c r="L36" s="1053"/>
    </row>
    <row r="37" spans="1:12" x14ac:dyDescent="0.3">
      <c r="A37" s="1053"/>
      <c r="B37" s="1053"/>
      <c r="C37" s="117"/>
      <c r="D37" s="17"/>
      <c r="E37" s="117"/>
      <c r="F37" s="117"/>
      <c r="G37" s="117"/>
      <c r="H37" s="117"/>
      <c r="I37" s="117"/>
      <c r="J37" s="1053"/>
      <c r="K37" s="1053"/>
      <c r="L37" s="1053"/>
    </row>
    <row r="38" spans="1:12" ht="14.5" hidden="1" thickBot="1" x14ac:dyDescent="0.35">
      <c r="B38" s="117"/>
      <c r="C38" s="1185" t="s">
        <v>1207</v>
      </c>
      <c r="D38" s="482" t="s">
        <v>1208</v>
      </c>
      <c r="E38" s="483"/>
      <c r="F38" s="519" t="s">
        <v>542</v>
      </c>
      <c r="G38" s="519"/>
      <c r="H38" s="519" t="str">
        <f>$I$1</f>
        <v>2024-2027</v>
      </c>
      <c r="I38" s="520" t="s">
        <v>544</v>
      </c>
      <c r="J38" s="117"/>
      <c r="K38" s="117"/>
    </row>
    <row r="39" spans="1:12" ht="14.5" hidden="1" thickTop="1" x14ac:dyDescent="0.3">
      <c r="B39" s="117"/>
      <c r="C39" s="1185"/>
      <c r="D39" s="302"/>
      <c r="E39" s="303" t="s">
        <v>545</v>
      </c>
      <c r="F39" s="302" t="e">
        <f>SUM(T2_Ann_Rcdkping!#REF!,T3_AnnRpting!#REF!,T4_Ann_3rdParty!#REF!)</f>
        <v>#REF!</v>
      </c>
      <c r="G39" s="302"/>
      <c r="H39" s="302" t="e">
        <f>SUM(T2_Ann_Rcdkping!#REF!,T3_AnnRpting!#REF!,T4_Ann_3rdParty!#REF!)</f>
        <v>#REF!</v>
      </c>
      <c r="I39" s="302" t="e">
        <f>H39-F39</f>
        <v>#REF!</v>
      </c>
      <c r="J39" s="117"/>
      <c r="K39" s="117"/>
    </row>
    <row r="40" spans="1:12" hidden="1" x14ac:dyDescent="0.3">
      <c r="B40" s="117"/>
      <c r="C40" s="1185"/>
      <c r="D40" s="302"/>
      <c r="E40" s="303" t="s">
        <v>546</v>
      </c>
      <c r="F40" s="302" t="e">
        <f>SUM(T2_Ann_Rcdkping!#REF!,T3_AnnRpting!#REF!,T4_Ann_3rdParty!#REF!)</f>
        <v>#REF!</v>
      </c>
      <c r="G40" s="302"/>
      <c r="H40" s="302" t="e">
        <f>SUM(T2_Ann_Rcdkping!#REF!,T3_AnnRpting!#REF!,T4_Ann_3rdParty!#REF!)</f>
        <v>#REF!</v>
      </c>
      <c r="I40" s="302" t="e">
        <f>H40-F40</f>
        <v>#REF!</v>
      </c>
      <c r="J40" s="117"/>
      <c r="K40" s="117"/>
    </row>
    <row r="41" spans="1:12" hidden="1" x14ac:dyDescent="0.3">
      <c r="B41" s="117"/>
      <c r="C41" s="1185"/>
      <c r="D41" s="302"/>
      <c r="E41" s="303" t="s">
        <v>547</v>
      </c>
      <c r="F41" s="302" t="e">
        <f>SUM(T2_Ann_Rcdkping!#REF!,T3_AnnRpting!#REF!,T4_Ann_3rdParty!#REF!)</f>
        <v>#REF!</v>
      </c>
      <c r="G41" s="302"/>
      <c r="H41" s="302" t="e">
        <f>SUM(T2_Ann_Rcdkping!#REF!,T3_AnnRpting!#REF!,T4_Ann_3rdParty!#REF!)</f>
        <v>#REF!</v>
      </c>
      <c r="I41" s="302" t="e">
        <f>H41-F41</f>
        <v>#REF!</v>
      </c>
      <c r="J41" s="117"/>
      <c r="K41" s="117"/>
    </row>
    <row r="42" spans="1:12" hidden="1" x14ac:dyDescent="0.3">
      <c r="B42" s="117"/>
      <c r="C42" s="1185"/>
      <c r="D42" s="302"/>
      <c r="E42" s="303" t="s">
        <v>648</v>
      </c>
      <c r="F42" s="302" t="e">
        <f>SUM(T2_Ann_Rcdkping!#REF!,T3_AnnRpting!#REF!,T4_Ann_3rdParty!#REF!)</f>
        <v>#REF!</v>
      </c>
      <c r="G42" s="302"/>
      <c r="H42" s="302" t="e">
        <f>SUM(T2_Ann_Rcdkping!#REF!,T3_AnnRpting!#REF!,T4_Ann_3rdParty!#REF!)</f>
        <v>#REF!</v>
      </c>
      <c r="I42" s="302" t="e">
        <f>H42-F42</f>
        <v>#REF!</v>
      </c>
      <c r="J42" s="117"/>
      <c r="K42" s="117"/>
    </row>
    <row r="43" spans="1:12" hidden="1" x14ac:dyDescent="0.3">
      <c r="B43" s="117"/>
      <c r="C43" s="1185"/>
      <c r="D43" s="302"/>
      <c r="E43" s="303" t="s">
        <v>487</v>
      </c>
      <c r="F43" s="302" t="e">
        <f>SUM(T2_Ann_Rcdkping!#REF!,T3_AnnRpting!#REF!,T4_Ann_3rdParty!#REF!)</f>
        <v>#REF!</v>
      </c>
      <c r="G43" s="301"/>
      <c r="H43" s="302" t="e">
        <f>SUM(T2_Ann_Rcdkping!#REF!,T3_AnnRpting!#REF!,T4_Ann_3rdParty!#REF!)</f>
        <v>#REF!</v>
      </c>
      <c r="I43" s="302" t="e">
        <f>H43-F43</f>
        <v>#REF!</v>
      </c>
      <c r="J43" s="117"/>
      <c r="K43" s="117"/>
    </row>
    <row r="55" spans="5:5" x14ac:dyDescent="0.3">
      <c r="E55" s="371"/>
    </row>
  </sheetData>
  <sheetProtection algorithmName="SHA-512" hashValue="9TVcdWmLbgra3CyTQUdJ2sioMKU+YnXWQ7+JJvI2CcCialLM9fnOTIO8ep9iRlCRCD1yfqnxo+TCfCC/mF/imQ==" saltValue="lsz4R0EYwhjVLPOBvFYXfw==" spinCount="100000" sheet="1" objects="1" scenarios="1" formatCells="0"/>
  <mergeCells count="18">
    <mergeCell ref="B14:B15"/>
    <mergeCell ref="C14:C15"/>
    <mergeCell ref="D14:D15"/>
    <mergeCell ref="B3:B4"/>
    <mergeCell ref="C3:C4"/>
    <mergeCell ref="B9:C9"/>
    <mergeCell ref="D3:D4"/>
    <mergeCell ref="I1:I2"/>
    <mergeCell ref="C38:C43"/>
    <mergeCell ref="K3:K4"/>
    <mergeCell ref="I3:I4"/>
    <mergeCell ref="H3:H4"/>
    <mergeCell ref="J3:J4"/>
    <mergeCell ref="E14:E15"/>
    <mergeCell ref="F14:F15"/>
    <mergeCell ref="H1:H2"/>
    <mergeCell ref="E3:E4"/>
    <mergeCell ref="F3:F4"/>
  </mergeCells>
  <pageMargins left="0.75" right="0.75" top="0.75" bottom="0.75" header="0.5" footer="0.5"/>
  <pageSetup scale="87" orientation="landscape" r:id="rId1"/>
  <headerFooter>
    <oddHeader xml:space="preserve">&amp;C&amp;"Arial,Bold"&amp;14FINAL Supporting Statement, 10 CFR Part 26&amp;16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2920-091D-475E-931E-2034B1F090D6}">
  <sheetPr codeName="Sheet2">
    <tabColor rgb="FFFF0000"/>
  </sheetPr>
  <dimension ref="A1:X129"/>
  <sheetViews>
    <sheetView view="pageBreakPreview" zoomScale="90" zoomScaleNormal="85" zoomScaleSheetLayoutView="90" workbookViewId="0">
      <pane xSplit="4" ySplit="6" topLeftCell="E54" activePane="bottomRight" state="frozen"/>
      <selection activeCell="B23" sqref="B23:B28"/>
      <selection pane="topRight" activeCell="B23" sqref="B23:B28"/>
      <selection pane="bottomLeft" activeCell="B23" sqref="B23:B28"/>
      <selection pane="bottomRight" activeCell="B23" sqref="B23:B28"/>
    </sheetView>
  </sheetViews>
  <sheetFormatPr defaultColWidth="8.4140625" defaultRowHeight="12.5" x14ac:dyDescent="0.25"/>
  <cols>
    <col min="1" max="1" width="2.9140625" style="114" customWidth="1"/>
    <col min="2" max="2" width="19" style="114" customWidth="1"/>
    <col min="3" max="3" width="10.4140625" style="114" customWidth="1"/>
    <col min="4" max="4" width="20.1640625" style="114" customWidth="1"/>
    <col min="5" max="5" width="34.6640625" style="114" customWidth="1"/>
    <col min="6" max="6" width="12.08203125" style="114" customWidth="1"/>
    <col min="7" max="7" width="10.5" style="114" customWidth="1"/>
    <col min="8" max="8" width="10.1640625" style="114" customWidth="1"/>
    <col min="9" max="9" width="9.9140625" style="114" customWidth="1"/>
    <col min="10" max="10" width="11.08203125" style="114" customWidth="1"/>
    <col min="11" max="11" width="9.9140625" style="114" customWidth="1"/>
    <col min="12" max="12" width="10.08203125" style="114" customWidth="1"/>
    <col min="13" max="13" width="12.9140625" style="114" customWidth="1"/>
    <col min="14" max="14" width="1.6640625" style="114" customWidth="1"/>
    <col min="15" max="15" width="11.4140625" style="114" customWidth="1"/>
    <col min="16" max="16" width="10.9140625" style="114" customWidth="1"/>
    <col min="17" max="16384" width="8.4140625" style="114"/>
  </cols>
  <sheetData>
    <row r="1" spans="1:24" ht="15.65" customHeight="1" x14ac:dyDescent="0.35">
      <c r="B1" s="115"/>
      <c r="C1" s="116" t="s">
        <v>85</v>
      </c>
      <c r="D1" s="116"/>
      <c r="E1" s="116"/>
      <c r="F1" s="361"/>
      <c r="G1" s="117"/>
      <c r="H1" s="117"/>
      <c r="I1" s="115"/>
      <c r="J1" s="115"/>
      <c r="K1" s="115"/>
      <c r="L1" s="115"/>
      <c r="M1" s="117"/>
      <c r="N1" s="117"/>
      <c r="O1" s="117"/>
      <c r="P1" s="115"/>
    </row>
    <row r="2" spans="1:24" ht="15.5" x14ac:dyDescent="0.35">
      <c r="B2" s="115"/>
      <c r="C2" s="362" t="s">
        <v>86</v>
      </c>
      <c r="D2" s="116"/>
      <c r="E2" s="363"/>
      <c r="F2" s="115"/>
      <c r="G2" s="117"/>
      <c r="H2" s="118"/>
      <c r="I2" s="119" t="s">
        <v>87</v>
      </c>
      <c r="J2" s="120" t="s">
        <v>88</v>
      </c>
      <c r="K2" s="231">
        <v>45566</v>
      </c>
      <c r="L2" s="117"/>
      <c r="N2" s="117"/>
      <c r="O2" s="192" t="s">
        <v>89</v>
      </c>
      <c r="P2" s="286"/>
    </row>
    <row r="3" spans="1:24" ht="15.5" x14ac:dyDescent="0.35">
      <c r="B3" s="115"/>
      <c r="C3" s="364" t="s">
        <v>90</v>
      </c>
      <c r="D3" s="116"/>
      <c r="E3" s="363"/>
      <c r="F3" s="365"/>
      <c r="G3" s="115"/>
      <c r="H3" s="121"/>
      <c r="I3" s="122"/>
      <c r="J3" s="123" t="s">
        <v>91</v>
      </c>
      <c r="K3" s="232">
        <v>46660</v>
      </c>
      <c r="L3" s="117"/>
      <c r="M3" s="117"/>
      <c r="N3" s="117"/>
      <c r="O3" s="117"/>
      <c r="P3" s="115"/>
    </row>
    <row r="4" spans="1:24" ht="8" customHeight="1" thickBot="1" x14ac:dyDescent="0.4">
      <c r="B4" s="115"/>
      <c r="C4" s="115"/>
      <c r="D4" s="116"/>
      <c r="E4" s="117"/>
      <c r="F4" s="115"/>
      <c r="G4" s="115"/>
      <c r="L4" s="117"/>
      <c r="M4" s="117"/>
      <c r="N4" s="117"/>
      <c r="O4" s="117"/>
      <c r="P4" s="115"/>
    </row>
    <row r="5" spans="1:24" ht="35.4" customHeight="1" x14ac:dyDescent="0.25">
      <c r="B5" s="1095" t="s">
        <v>92</v>
      </c>
      <c r="C5" s="1107" t="s">
        <v>93</v>
      </c>
      <c r="D5" s="1109" t="s">
        <v>94</v>
      </c>
      <c r="E5" s="1111" t="s">
        <v>95</v>
      </c>
      <c r="F5" s="1113" t="s">
        <v>96</v>
      </c>
      <c r="G5" s="1099" t="s">
        <v>97</v>
      </c>
      <c r="H5" s="1092"/>
      <c r="I5" s="1091" t="s">
        <v>98</v>
      </c>
      <c r="J5" s="1092"/>
      <c r="K5" s="1093" t="s">
        <v>99</v>
      </c>
      <c r="L5" s="1094"/>
      <c r="M5" s="1095" t="s">
        <v>100</v>
      </c>
      <c r="N5" s="124"/>
      <c r="O5" s="1097" t="s">
        <v>101</v>
      </c>
      <c r="P5" s="1105" t="s">
        <v>102</v>
      </c>
    </row>
    <row r="6" spans="1:24" ht="15.65" customHeight="1" thickBot="1" x14ac:dyDescent="0.3">
      <c r="B6" s="1096"/>
      <c r="C6" s="1108"/>
      <c r="D6" s="1110"/>
      <c r="E6" s="1112"/>
      <c r="F6" s="1114"/>
      <c r="G6" s="380" t="s">
        <v>103</v>
      </c>
      <c r="H6" s="381" t="s">
        <v>104</v>
      </c>
      <c r="I6" s="380" t="s">
        <v>103</v>
      </c>
      <c r="J6" s="125" t="s">
        <v>105</v>
      </c>
      <c r="K6" s="380" t="s">
        <v>103</v>
      </c>
      <c r="L6" s="125" t="s">
        <v>105</v>
      </c>
      <c r="M6" s="1096"/>
      <c r="N6" s="126"/>
      <c r="O6" s="1098"/>
      <c r="P6" s="1106"/>
    </row>
    <row r="7" spans="1:24" s="127" customFormat="1" x14ac:dyDescent="0.3">
      <c r="A7" s="127">
        <v>1</v>
      </c>
      <c r="B7" s="128" t="s">
        <v>106</v>
      </c>
      <c r="C7" s="129" t="s">
        <v>107</v>
      </c>
      <c r="D7" s="130" t="s">
        <v>108</v>
      </c>
      <c r="E7" s="293" t="s">
        <v>109</v>
      </c>
      <c r="F7" s="324">
        <v>25178</v>
      </c>
      <c r="G7" s="323">
        <v>27170</v>
      </c>
      <c r="H7" s="327">
        <v>41779</v>
      </c>
      <c r="I7" s="324">
        <v>37062</v>
      </c>
      <c r="J7" s="325">
        <v>49084</v>
      </c>
      <c r="K7" s="329"/>
      <c r="L7" s="330"/>
      <c r="M7" s="307"/>
      <c r="N7" s="331"/>
      <c r="O7" s="326">
        <f t="shared" ref="O7:O69" si="0">IF(M7&gt;0,M7,IF(L7&gt;0,L7,IF(J7&gt;0,J7,H7)))</f>
        <v>49084</v>
      </c>
      <c r="P7" s="296">
        <f>IF(O7&gt;$K$3,365*3, M7-$K$2)</f>
        <v>1095</v>
      </c>
    </row>
    <row r="8" spans="1:24" s="127" customFormat="1" ht="14" x14ac:dyDescent="0.3">
      <c r="A8" s="127">
        <f>A7+1</f>
        <v>2</v>
      </c>
      <c r="B8" s="128" t="s">
        <v>106</v>
      </c>
      <c r="C8" s="129" t="s">
        <v>107</v>
      </c>
      <c r="D8" s="131" t="s">
        <v>110</v>
      </c>
      <c r="E8" s="293" t="s">
        <v>109</v>
      </c>
      <c r="F8" s="326">
        <v>26639</v>
      </c>
      <c r="G8" s="326">
        <v>28734</v>
      </c>
      <c r="H8" s="326">
        <v>43298</v>
      </c>
      <c r="I8" s="328">
        <v>38533</v>
      </c>
      <c r="J8" s="325">
        <v>50603</v>
      </c>
      <c r="K8" s="329"/>
      <c r="L8" s="330"/>
      <c r="M8" s="307"/>
      <c r="N8" s="331"/>
      <c r="O8" s="326">
        <f>IF(M8&gt;0,M8,IF(L8&gt;0,L8,IF(J8&gt;0,J8,H8)))</f>
        <v>50603</v>
      </c>
      <c r="P8" s="296">
        <f t="shared" ref="P8:P70" si="1">IF(O8&gt;$K$3,365*3, M8-$K$2)</f>
        <v>1095</v>
      </c>
      <c r="R8" s="396" t="s">
        <v>111</v>
      </c>
      <c r="S8" s="350"/>
      <c r="T8" s="350"/>
      <c r="U8" s="350"/>
      <c r="V8" s="350"/>
      <c r="W8" s="350"/>
      <c r="X8" s="350"/>
    </row>
    <row r="9" spans="1:24" s="127" customFormat="1" x14ac:dyDescent="0.3">
      <c r="A9" s="127">
        <f t="shared" ref="A9:A72" si="2">A8+1</f>
        <v>3</v>
      </c>
      <c r="B9" s="128" t="s">
        <v>29</v>
      </c>
      <c r="C9" s="129" t="s">
        <v>107</v>
      </c>
      <c r="D9" s="127" t="s">
        <v>112</v>
      </c>
      <c r="E9" s="132" t="s">
        <v>113</v>
      </c>
      <c r="F9" s="326">
        <v>25745</v>
      </c>
      <c r="G9" s="326">
        <v>27943</v>
      </c>
      <c r="H9" s="307">
        <v>42398</v>
      </c>
      <c r="I9" s="326">
        <v>40122</v>
      </c>
      <c r="J9" s="330">
        <v>49703</v>
      </c>
      <c r="K9" s="329"/>
      <c r="L9" s="330"/>
      <c r="M9" s="307"/>
      <c r="N9" s="331"/>
      <c r="O9" s="326">
        <f>IF(M9&gt;0,M9,IF(L9&gt;0,L9,IF(J9&gt;0,J9,H9)))</f>
        <v>49703</v>
      </c>
      <c r="P9" s="296">
        <f t="shared" si="1"/>
        <v>1095</v>
      </c>
    </row>
    <row r="10" spans="1:24" s="127" customFormat="1" ht="14.25" customHeight="1" x14ac:dyDescent="0.3">
      <c r="A10" s="127">
        <f t="shared" si="2"/>
        <v>4</v>
      </c>
      <c r="B10" s="128" t="s">
        <v>29</v>
      </c>
      <c r="C10" s="129" t="s">
        <v>107</v>
      </c>
      <c r="D10" s="127" t="s">
        <v>114</v>
      </c>
      <c r="E10" s="132" t="s">
        <v>113</v>
      </c>
      <c r="F10" s="326">
        <v>27152</v>
      </c>
      <c r="G10" s="326">
        <v>32003</v>
      </c>
      <c r="H10" s="307">
        <v>46534</v>
      </c>
      <c r="I10" s="326">
        <v>40122</v>
      </c>
      <c r="J10" s="330">
        <v>53839</v>
      </c>
      <c r="K10" s="329"/>
      <c r="L10" s="330"/>
      <c r="M10" s="307"/>
      <c r="N10" s="331"/>
      <c r="O10" s="326">
        <f>IF(M10&gt;0,M10,IF(L10&gt;0,L10,IF(J10&gt;0,J10,H10)))</f>
        <v>53839</v>
      </c>
      <c r="P10" s="296">
        <f t="shared" si="1"/>
        <v>1095</v>
      </c>
    </row>
    <row r="11" spans="1:24" s="127" customFormat="1" x14ac:dyDescent="0.3">
      <c r="A11" s="127">
        <f t="shared" si="2"/>
        <v>5</v>
      </c>
      <c r="B11" s="128" t="s">
        <v>39</v>
      </c>
      <c r="C11" s="129" t="s">
        <v>107</v>
      </c>
      <c r="D11" s="127" t="s">
        <v>115</v>
      </c>
      <c r="E11" s="132" t="s">
        <v>116</v>
      </c>
      <c r="F11" s="326">
        <v>27759</v>
      </c>
      <c r="G11" s="326">
        <v>31960</v>
      </c>
      <c r="H11" s="307">
        <v>46312</v>
      </c>
      <c r="I11" s="326">
        <v>42396</v>
      </c>
      <c r="J11" s="330">
        <v>53617</v>
      </c>
      <c r="K11" s="329"/>
      <c r="L11" s="330"/>
      <c r="M11" s="307"/>
      <c r="N11" s="331"/>
      <c r="O11" s="326">
        <f>IF(M11&gt;0,M11,IF(L11&gt;0,L11,IF(J11&gt;0,J11,H11)))</f>
        <v>53617</v>
      </c>
      <c r="P11" s="296">
        <f t="shared" si="1"/>
        <v>1095</v>
      </c>
    </row>
    <row r="12" spans="1:24" s="127" customFormat="1" x14ac:dyDescent="0.3">
      <c r="A12" s="127">
        <f t="shared" si="2"/>
        <v>6</v>
      </c>
      <c r="B12" s="128" t="s">
        <v>39</v>
      </c>
      <c r="C12" s="129" t="s">
        <v>107</v>
      </c>
      <c r="D12" s="127" t="s">
        <v>117</v>
      </c>
      <c r="E12" s="132" t="s">
        <v>116</v>
      </c>
      <c r="F12" s="326">
        <v>27759</v>
      </c>
      <c r="G12" s="326">
        <v>32283</v>
      </c>
      <c r="H12" s="307">
        <v>46739</v>
      </c>
      <c r="I12" s="326">
        <v>42396</v>
      </c>
      <c r="J12" s="330">
        <v>54044</v>
      </c>
      <c r="K12" s="329"/>
      <c r="L12" s="330"/>
      <c r="M12" s="307"/>
      <c r="N12" s="331"/>
      <c r="O12" s="326">
        <f t="shared" si="0"/>
        <v>54044</v>
      </c>
      <c r="P12" s="296">
        <f t="shared" si="1"/>
        <v>1095</v>
      </c>
    </row>
    <row r="13" spans="1:24" s="127" customFormat="1" x14ac:dyDescent="0.3">
      <c r="A13" s="127">
        <f t="shared" si="2"/>
        <v>7</v>
      </c>
      <c r="B13" s="128" t="s">
        <v>75</v>
      </c>
      <c r="C13" s="129" t="s">
        <v>107</v>
      </c>
      <c r="D13" s="127" t="s">
        <v>118</v>
      </c>
      <c r="E13" s="132" t="s">
        <v>119</v>
      </c>
      <c r="F13" s="326">
        <v>24602</v>
      </c>
      <c r="G13" s="326">
        <v>27018</v>
      </c>
      <c r="H13" s="307">
        <v>41628</v>
      </c>
      <c r="I13" s="326">
        <v>38841</v>
      </c>
      <c r="J13" s="330">
        <v>48933</v>
      </c>
      <c r="K13" s="329"/>
      <c r="L13" s="330"/>
      <c r="M13" s="307"/>
      <c r="N13" s="331"/>
      <c r="O13" s="326">
        <f>IF(M13&gt;0,M13,IF(L13&gt;0,L13,IF(J13&gt;0,J13,H13)))</f>
        <v>48933</v>
      </c>
      <c r="P13" s="296">
        <f t="shared" si="1"/>
        <v>1095</v>
      </c>
    </row>
    <row r="14" spans="1:24" s="127" customFormat="1" x14ac:dyDescent="0.3">
      <c r="A14" s="127">
        <f t="shared" si="2"/>
        <v>8</v>
      </c>
      <c r="B14" s="128" t="s">
        <v>75</v>
      </c>
      <c r="C14" s="129" t="s">
        <v>107</v>
      </c>
      <c r="D14" s="127" t="s">
        <v>120</v>
      </c>
      <c r="E14" s="132" t="s">
        <v>119</v>
      </c>
      <c r="F14" s="326">
        <v>24602</v>
      </c>
      <c r="G14" s="326">
        <v>27208</v>
      </c>
      <c r="H14" s="307">
        <v>41818</v>
      </c>
      <c r="I14" s="326">
        <v>38841</v>
      </c>
      <c r="J14" s="330">
        <v>49123</v>
      </c>
      <c r="K14" s="329"/>
      <c r="L14" s="330"/>
      <c r="M14" s="307"/>
      <c r="N14" s="331"/>
      <c r="O14" s="326">
        <f t="shared" si="0"/>
        <v>49123</v>
      </c>
      <c r="P14" s="296">
        <f t="shared" si="1"/>
        <v>1095</v>
      </c>
    </row>
    <row r="15" spans="1:24" s="127" customFormat="1" x14ac:dyDescent="0.3">
      <c r="A15" s="127">
        <f t="shared" si="2"/>
        <v>9</v>
      </c>
      <c r="B15" s="128" t="s">
        <v>75</v>
      </c>
      <c r="C15" s="129" t="s">
        <v>107</v>
      </c>
      <c r="D15" s="127" t="s">
        <v>121</v>
      </c>
      <c r="E15" s="132" t="s">
        <v>119</v>
      </c>
      <c r="F15" s="326">
        <v>25050</v>
      </c>
      <c r="G15" s="326">
        <v>27943</v>
      </c>
      <c r="H15" s="307">
        <v>42553</v>
      </c>
      <c r="I15" s="326">
        <v>38841</v>
      </c>
      <c r="J15" s="330">
        <v>49858</v>
      </c>
      <c r="K15" s="329"/>
      <c r="L15" s="330"/>
      <c r="M15" s="307"/>
      <c r="N15" s="331"/>
      <c r="O15" s="326">
        <f t="shared" si="0"/>
        <v>49858</v>
      </c>
      <c r="P15" s="296">
        <f t="shared" si="1"/>
        <v>1095</v>
      </c>
    </row>
    <row r="16" spans="1:24" s="127" customFormat="1" x14ac:dyDescent="0.3">
      <c r="A16" s="127">
        <f t="shared" si="2"/>
        <v>10</v>
      </c>
      <c r="B16" s="128" t="s">
        <v>22</v>
      </c>
      <c r="C16" s="129" t="s">
        <v>107</v>
      </c>
      <c r="D16" s="127" t="s">
        <v>122</v>
      </c>
      <c r="E16" s="132" t="s">
        <v>21</v>
      </c>
      <c r="F16" s="326">
        <v>25606</v>
      </c>
      <c r="G16" s="326">
        <v>28011</v>
      </c>
      <c r="H16" s="307">
        <v>42621</v>
      </c>
      <c r="I16" s="326">
        <v>38894</v>
      </c>
      <c r="J16" s="330">
        <v>49926</v>
      </c>
      <c r="K16" s="329"/>
      <c r="L16" s="330"/>
      <c r="M16" s="307"/>
      <c r="N16" s="331"/>
      <c r="O16" s="326">
        <f t="shared" si="0"/>
        <v>49926</v>
      </c>
      <c r="P16" s="296">
        <f t="shared" si="1"/>
        <v>1095</v>
      </c>
    </row>
    <row r="17" spans="1:17" s="127" customFormat="1" x14ac:dyDescent="0.3">
      <c r="A17" s="127">
        <f t="shared" si="2"/>
        <v>11</v>
      </c>
      <c r="B17" s="128" t="s">
        <v>22</v>
      </c>
      <c r="C17" s="129" t="s">
        <v>107</v>
      </c>
      <c r="D17" s="127" t="s">
        <v>123</v>
      </c>
      <c r="E17" s="132" t="s">
        <v>21</v>
      </c>
      <c r="F17" s="326">
        <v>25606</v>
      </c>
      <c r="G17" s="326">
        <v>27390</v>
      </c>
      <c r="H17" s="307">
        <v>42000</v>
      </c>
      <c r="I17" s="326">
        <v>38894</v>
      </c>
      <c r="J17" s="330">
        <v>49305</v>
      </c>
      <c r="K17" s="329"/>
      <c r="L17" s="330"/>
      <c r="M17" s="307"/>
      <c r="N17" s="331"/>
      <c r="O17" s="326">
        <f t="shared" si="0"/>
        <v>49305</v>
      </c>
      <c r="P17" s="296">
        <f t="shared" si="1"/>
        <v>1095</v>
      </c>
    </row>
    <row r="18" spans="1:17" s="127" customFormat="1" ht="13" x14ac:dyDescent="0.25">
      <c r="A18" s="127">
        <f t="shared" si="2"/>
        <v>12</v>
      </c>
      <c r="B18" s="128" t="s">
        <v>40</v>
      </c>
      <c r="C18" s="129" t="s">
        <v>107</v>
      </c>
      <c r="D18" s="127" t="s">
        <v>124</v>
      </c>
      <c r="E18" s="132" t="s">
        <v>116</v>
      </c>
      <c r="F18" s="326">
        <v>27759</v>
      </c>
      <c r="G18" s="326">
        <v>31092</v>
      </c>
      <c r="H18" s="307">
        <v>45596</v>
      </c>
      <c r="I18" s="326">
        <v>42327</v>
      </c>
      <c r="J18" s="330">
        <v>52901</v>
      </c>
      <c r="K18" s="329"/>
      <c r="L18" s="330"/>
      <c r="M18" s="343"/>
      <c r="N18" s="331"/>
      <c r="O18" s="326">
        <f t="shared" si="0"/>
        <v>52901</v>
      </c>
      <c r="P18" s="296">
        <f t="shared" si="1"/>
        <v>1095</v>
      </c>
      <c r="Q18" s="346"/>
    </row>
    <row r="19" spans="1:17" s="127" customFormat="1" ht="13" x14ac:dyDescent="0.25">
      <c r="A19" s="127">
        <f t="shared" si="2"/>
        <v>13</v>
      </c>
      <c r="B19" s="128" t="s">
        <v>40</v>
      </c>
      <c r="C19" s="129" t="s">
        <v>107</v>
      </c>
      <c r="D19" s="127" t="s">
        <v>125</v>
      </c>
      <c r="E19" s="132" t="s">
        <v>116</v>
      </c>
      <c r="F19" s="326">
        <v>27759</v>
      </c>
      <c r="G19" s="326">
        <v>31807</v>
      </c>
      <c r="H19" s="307">
        <v>46332</v>
      </c>
      <c r="I19" s="326">
        <v>42327</v>
      </c>
      <c r="J19" s="330">
        <v>53637</v>
      </c>
      <c r="K19" s="329"/>
      <c r="L19" s="330"/>
      <c r="M19" s="343"/>
      <c r="N19" s="331"/>
      <c r="O19" s="326">
        <f t="shared" si="0"/>
        <v>53637</v>
      </c>
      <c r="P19" s="296">
        <f t="shared" si="1"/>
        <v>1095</v>
      </c>
      <c r="Q19" s="346"/>
    </row>
    <row r="20" spans="1:17" s="127" customFormat="1" x14ac:dyDescent="0.3">
      <c r="A20" s="127">
        <f t="shared" si="2"/>
        <v>14</v>
      </c>
      <c r="B20" s="128" t="s">
        <v>126</v>
      </c>
      <c r="C20" s="129" t="s">
        <v>107</v>
      </c>
      <c r="D20" s="131" t="s">
        <v>127</v>
      </c>
      <c r="E20" s="132" t="s">
        <v>5</v>
      </c>
      <c r="F20" s="326">
        <v>27866</v>
      </c>
      <c r="G20" s="326">
        <v>30973</v>
      </c>
      <c r="H20" s="307">
        <v>45583</v>
      </c>
      <c r="I20" s="326">
        <v>42069</v>
      </c>
      <c r="J20" s="330">
        <v>52888</v>
      </c>
      <c r="K20" s="329"/>
      <c r="L20" s="330"/>
      <c r="M20" s="307"/>
      <c r="N20" s="331"/>
      <c r="O20" s="326">
        <f t="shared" si="0"/>
        <v>52888</v>
      </c>
      <c r="P20" s="296">
        <f t="shared" si="1"/>
        <v>1095</v>
      </c>
    </row>
    <row r="21" spans="1:17" s="127" customFormat="1" x14ac:dyDescent="0.3">
      <c r="A21" s="127">
        <f t="shared" si="2"/>
        <v>15</v>
      </c>
      <c r="B21" s="128" t="s">
        <v>41</v>
      </c>
      <c r="C21" s="129" t="s">
        <v>107</v>
      </c>
      <c r="D21" s="127" t="s">
        <v>128</v>
      </c>
      <c r="E21" s="132" t="s">
        <v>116</v>
      </c>
      <c r="F21" s="326">
        <v>25391</v>
      </c>
      <c r="G21" s="326">
        <v>27241</v>
      </c>
      <c r="H21" s="307">
        <v>41851</v>
      </c>
      <c r="I21" s="326">
        <v>36608</v>
      </c>
      <c r="J21" s="330">
        <v>49156</v>
      </c>
      <c r="K21" s="329"/>
      <c r="L21" s="330"/>
      <c r="M21" s="307"/>
      <c r="N21" s="331"/>
      <c r="O21" s="326">
        <f t="shared" si="0"/>
        <v>49156</v>
      </c>
      <c r="P21" s="296">
        <f t="shared" si="1"/>
        <v>1095</v>
      </c>
    </row>
    <row r="22" spans="1:17" s="127" customFormat="1" x14ac:dyDescent="0.3">
      <c r="A22" s="127">
        <f t="shared" si="2"/>
        <v>16</v>
      </c>
      <c r="B22" s="128" t="s">
        <v>41</v>
      </c>
      <c r="C22" s="129" t="s">
        <v>107</v>
      </c>
      <c r="D22" s="127" t="s">
        <v>129</v>
      </c>
      <c r="E22" s="132" t="s">
        <v>116</v>
      </c>
      <c r="F22" s="326">
        <v>25391</v>
      </c>
      <c r="G22" s="326">
        <v>27985</v>
      </c>
      <c r="H22" s="307">
        <v>42613</v>
      </c>
      <c r="I22" s="326">
        <v>36608</v>
      </c>
      <c r="J22" s="330">
        <v>49900</v>
      </c>
      <c r="K22" s="329"/>
      <c r="L22" s="330"/>
      <c r="M22" s="307"/>
      <c r="N22" s="331"/>
      <c r="O22" s="326">
        <f t="shared" si="0"/>
        <v>49900</v>
      </c>
      <c r="P22" s="296">
        <f>IF(O22&gt;$K$3,365*3, M22-$K$2)</f>
        <v>1095</v>
      </c>
    </row>
    <row r="23" spans="1:17" s="127" customFormat="1" x14ac:dyDescent="0.3">
      <c r="A23" s="127">
        <f t="shared" si="2"/>
        <v>17</v>
      </c>
      <c r="B23" s="128" t="s">
        <v>23</v>
      </c>
      <c r="C23" s="129" t="s">
        <v>107</v>
      </c>
      <c r="D23" s="127" t="s">
        <v>130</v>
      </c>
      <c r="E23" s="132" t="s">
        <v>21</v>
      </c>
      <c r="F23" s="326">
        <v>27613</v>
      </c>
      <c r="G23" s="326">
        <v>31064</v>
      </c>
      <c r="H23" s="307">
        <v>45632</v>
      </c>
      <c r="I23" s="326">
        <v>37960</v>
      </c>
      <c r="J23" s="332">
        <v>52570</v>
      </c>
      <c r="K23" s="329"/>
      <c r="L23" s="330"/>
      <c r="M23" s="307"/>
      <c r="N23" s="331"/>
      <c r="O23" s="326">
        <f t="shared" si="0"/>
        <v>52570</v>
      </c>
      <c r="P23" s="296">
        <f t="shared" si="1"/>
        <v>1095</v>
      </c>
    </row>
    <row r="24" spans="1:17" s="127" customFormat="1" x14ac:dyDescent="0.3">
      <c r="A24" s="127">
        <f t="shared" si="2"/>
        <v>18</v>
      </c>
      <c r="B24" s="128" t="s">
        <v>23</v>
      </c>
      <c r="C24" s="129" t="s">
        <v>107</v>
      </c>
      <c r="D24" s="127" t="s">
        <v>131</v>
      </c>
      <c r="E24" s="132" t="s">
        <v>21</v>
      </c>
      <c r="F24" s="326">
        <v>27613</v>
      </c>
      <c r="G24" s="326">
        <v>31547</v>
      </c>
      <c r="H24" s="307">
        <v>46077</v>
      </c>
      <c r="I24" s="326">
        <v>37960</v>
      </c>
      <c r="J24" s="330">
        <v>52570</v>
      </c>
      <c r="K24" s="329"/>
      <c r="L24" s="330"/>
      <c r="M24" s="307"/>
      <c r="N24" s="331"/>
      <c r="O24" s="326">
        <f t="shared" si="0"/>
        <v>52570</v>
      </c>
      <c r="P24" s="296">
        <f t="shared" si="1"/>
        <v>1095</v>
      </c>
    </row>
    <row r="25" spans="1:17" s="127" customFormat="1" ht="14" x14ac:dyDescent="0.3">
      <c r="A25" s="127">
        <f t="shared" si="2"/>
        <v>19</v>
      </c>
      <c r="B25" s="128" t="s">
        <v>42</v>
      </c>
      <c r="C25" s="357" t="s">
        <v>107</v>
      </c>
      <c r="D25" s="358" t="s">
        <v>132</v>
      </c>
      <c r="E25" s="132" t="s">
        <v>116</v>
      </c>
      <c r="F25" s="326">
        <v>27814</v>
      </c>
      <c r="G25" s="326">
        <v>31884</v>
      </c>
      <c r="H25" s="366">
        <v>46494</v>
      </c>
      <c r="I25" s="326"/>
      <c r="J25" s="334">
        <v>53799</v>
      </c>
      <c r="K25" s="329"/>
      <c r="L25" s="330"/>
      <c r="M25" s="307"/>
      <c r="N25" s="331"/>
      <c r="O25" s="326">
        <f>IF(M25&gt;0,M25,IF(L25&gt;0,L25,IF(J25&gt;0,J25,H25)))</f>
        <v>53799</v>
      </c>
      <c r="P25" s="296">
        <f>IF(O25&gt;$K$3,365*3, M25-$K$2)</f>
        <v>1095</v>
      </c>
    </row>
    <row r="26" spans="1:17" s="127" customFormat="1" x14ac:dyDescent="0.3">
      <c r="A26" s="127">
        <f t="shared" si="2"/>
        <v>20</v>
      </c>
      <c r="B26" s="128" t="s">
        <v>33</v>
      </c>
      <c r="C26" s="129" t="s">
        <v>107</v>
      </c>
      <c r="D26" s="127" t="s">
        <v>133</v>
      </c>
      <c r="E26" s="132" t="s">
        <v>32</v>
      </c>
      <c r="F26" s="326">
        <v>26742</v>
      </c>
      <c r="G26" s="326">
        <v>30785</v>
      </c>
      <c r="H26" s="307">
        <v>45280</v>
      </c>
      <c r="I26" s="326">
        <v>41051</v>
      </c>
      <c r="J26" s="330">
        <v>52585</v>
      </c>
      <c r="K26" s="329"/>
      <c r="L26" s="330"/>
      <c r="M26" s="307"/>
      <c r="N26" s="331"/>
      <c r="O26" s="326">
        <f t="shared" si="0"/>
        <v>52585</v>
      </c>
      <c r="P26" s="296">
        <f t="shared" si="1"/>
        <v>1095</v>
      </c>
    </row>
    <row r="27" spans="1:17" s="127" customFormat="1" x14ac:dyDescent="0.3">
      <c r="A27" s="127">
        <f t="shared" si="2"/>
        <v>21</v>
      </c>
      <c r="B27" s="128" t="s">
        <v>54</v>
      </c>
      <c r="C27" s="357" t="s">
        <v>107</v>
      </c>
      <c r="D27" s="360" t="s">
        <v>134</v>
      </c>
      <c r="E27" s="132" t="s">
        <v>135</v>
      </c>
      <c r="F27" s="326">
        <v>27382</v>
      </c>
      <c r="G27" s="326">
        <v>32980</v>
      </c>
      <c r="H27" s="307">
        <v>47522</v>
      </c>
      <c r="I27" s="326"/>
      <c r="J27" s="334">
        <v>54827</v>
      </c>
      <c r="K27" s="329"/>
      <c r="L27" s="330"/>
      <c r="M27" s="307"/>
      <c r="N27" s="331"/>
      <c r="O27" s="326">
        <f t="shared" si="0"/>
        <v>54827</v>
      </c>
      <c r="P27" s="296">
        <f t="shared" si="1"/>
        <v>1095</v>
      </c>
    </row>
    <row r="28" spans="1:17" s="127" customFormat="1" x14ac:dyDescent="0.3">
      <c r="A28" s="127">
        <f t="shared" si="2"/>
        <v>22</v>
      </c>
      <c r="B28" s="128" t="s">
        <v>54</v>
      </c>
      <c r="C28" s="357" t="s">
        <v>107</v>
      </c>
      <c r="D28" s="360" t="s">
        <v>136</v>
      </c>
      <c r="E28" s="132" t="s">
        <v>135</v>
      </c>
      <c r="F28" s="326">
        <v>27382</v>
      </c>
      <c r="G28" s="326">
        <v>34065</v>
      </c>
      <c r="H28" s="307">
        <v>48612</v>
      </c>
      <c r="I28" s="326"/>
      <c r="J28" s="334">
        <v>55917</v>
      </c>
      <c r="K28" s="329"/>
      <c r="L28" s="330"/>
      <c r="M28" s="307"/>
      <c r="N28" s="331"/>
      <c r="O28" s="326">
        <f t="shared" si="0"/>
        <v>55917</v>
      </c>
      <c r="P28" s="296">
        <f t="shared" si="1"/>
        <v>1095</v>
      </c>
    </row>
    <row r="29" spans="1:17" s="127" customFormat="1" x14ac:dyDescent="0.3">
      <c r="A29" s="127">
        <f t="shared" si="2"/>
        <v>23</v>
      </c>
      <c r="B29" s="128" t="s">
        <v>56</v>
      </c>
      <c r="C29" s="129" t="s">
        <v>107</v>
      </c>
      <c r="D29" s="127" t="s">
        <v>137</v>
      </c>
      <c r="E29" s="132" t="s">
        <v>55</v>
      </c>
      <c r="F29" s="326">
        <v>24993</v>
      </c>
      <c r="G29" s="326">
        <v>27047</v>
      </c>
      <c r="H29" s="307">
        <v>41657</v>
      </c>
      <c r="I29" s="326">
        <v>40511</v>
      </c>
      <c r="J29" s="330">
        <v>48962</v>
      </c>
      <c r="K29" s="329"/>
      <c r="L29" s="330"/>
      <c r="M29" s="307"/>
      <c r="N29" s="331"/>
      <c r="O29" s="326">
        <f t="shared" si="0"/>
        <v>48962</v>
      </c>
      <c r="P29" s="296">
        <f t="shared" si="1"/>
        <v>1095</v>
      </c>
    </row>
    <row r="30" spans="1:17" s="127" customFormat="1" x14ac:dyDescent="0.3">
      <c r="A30" s="127">
        <f t="shared" si="2"/>
        <v>24</v>
      </c>
      <c r="B30" s="128" t="s">
        <v>138</v>
      </c>
      <c r="C30" s="129" t="s">
        <v>107</v>
      </c>
      <c r="D30" s="131" t="s">
        <v>139</v>
      </c>
      <c r="E30" s="132" t="s">
        <v>51</v>
      </c>
      <c r="F30" s="326">
        <v>25287</v>
      </c>
      <c r="G30" s="326">
        <v>27327</v>
      </c>
      <c r="H30" s="307">
        <v>41937</v>
      </c>
      <c r="I30" s="326">
        <v>38594</v>
      </c>
      <c r="J30" s="330">
        <v>49242</v>
      </c>
      <c r="K30" s="329"/>
      <c r="L30" s="330"/>
      <c r="M30" s="307"/>
      <c r="N30" s="333"/>
      <c r="O30" s="326">
        <f t="shared" si="0"/>
        <v>49242</v>
      </c>
      <c r="P30" s="296">
        <f t="shared" si="1"/>
        <v>1095</v>
      </c>
    </row>
    <row r="31" spans="1:17" s="127" customFormat="1" x14ac:dyDescent="0.3">
      <c r="A31" s="127">
        <f t="shared" si="2"/>
        <v>25</v>
      </c>
      <c r="B31" s="128" t="s">
        <v>138</v>
      </c>
      <c r="C31" s="129" t="s">
        <v>107</v>
      </c>
      <c r="D31" s="131" t="s">
        <v>140</v>
      </c>
      <c r="E31" s="132" t="s">
        <v>51</v>
      </c>
      <c r="F31" s="326">
        <v>25287</v>
      </c>
      <c r="G31" s="326">
        <v>28482</v>
      </c>
      <c r="H31" s="307">
        <v>43092</v>
      </c>
      <c r="I31" s="326">
        <v>38594</v>
      </c>
      <c r="J31" s="330">
        <v>50397</v>
      </c>
      <c r="K31" s="329"/>
      <c r="L31" s="330"/>
      <c r="M31" s="307"/>
      <c r="N31" s="333"/>
      <c r="O31" s="326">
        <f t="shared" si="0"/>
        <v>50397</v>
      </c>
      <c r="P31" s="296">
        <f t="shared" si="1"/>
        <v>1095</v>
      </c>
    </row>
    <row r="32" spans="1:17" s="127" customFormat="1" x14ac:dyDescent="0.3">
      <c r="A32" s="127">
        <f t="shared" si="2"/>
        <v>26</v>
      </c>
      <c r="B32" s="128" t="s">
        <v>30</v>
      </c>
      <c r="C32" s="129" t="s">
        <v>107</v>
      </c>
      <c r="D32" s="131" t="s">
        <v>30</v>
      </c>
      <c r="E32" s="132" t="s">
        <v>113</v>
      </c>
      <c r="F32" s="326">
        <v>26016</v>
      </c>
      <c r="G32" s="326">
        <v>28237</v>
      </c>
      <c r="H32" s="307">
        <v>42847</v>
      </c>
      <c r="I32" s="326">
        <v>42346</v>
      </c>
      <c r="J32" s="330">
        <v>50152</v>
      </c>
      <c r="K32" s="329"/>
      <c r="L32" s="330"/>
      <c r="M32" s="307"/>
      <c r="N32" s="333"/>
      <c r="O32" s="326">
        <f t="shared" si="0"/>
        <v>50152</v>
      </c>
      <c r="P32" s="296">
        <f t="shared" si="1"/>
        <v>1095</v>
      </c>
    </row>
    <row r="33" spans="1:17" s="127" customFormat="1" ht="14" x14ac:dyDescent="0.3">
      <c r="A33" s="127">
        <f t="shared" si="2"/>
        <v>27</v>
      </c>
      <c r="B33" s="128" t="s">
        <v>63</v>
      </c>
      <c r="C33" s="357" t="s">
        <v>107</v>
      </c>
      <c r="D33" s="358" t="s">
        <v>141</v>
      </c>
      <c r="E33" s="132" t="s">
        <v>62</v>
      </c>
      <c r="F33" s="326">
        <v>24951</v>
      </c>
      <c r="G33" s="326">
        <v>30988</v>
      </c>
      <c r="H33" s="366">
        <v>45598</v>
      </c>
      <c r="I33" s="326"/>
      <c r="J33" s="334">
        <v>52903</v>
      </c>
      <c r="K33" s="329"/>
      <c r="L33" s="330"/>
      <c r="M33" s="307"/>
      <c r="N33" s="333"/>
      <c r="O33" s="326">
        <f t="shared" si="0"/>
        <v>52903</v>
      </c>
      <c r="P33" s="296">
        <f t="shared" si="1"/>
        <v>1095</v>
      </c>
    </row>
    <row r="34" spans="1:17" s="127" customFormat="1" ht="14" x14ac:dyDescent="0.3">
      <c r="A34" s="127">
        <f t="shared" si="2"/>
        <v>28</v>
      </c>
      <c r="B34" s="128" t="s">
        <v>63</v>
      </c>
      <c r="C34" s="357" t="s">
        <v>107</v>
      </c>
      <c r="D34" s="358" t="s">
        <v>142</v>
      </c>
      <c r="E34" s="132" t="s">
        <v>62</v>
      </c>
      <c r="F34" s="326">
        <v>25911</v>
      </c>
      <c r="G34" s="326">
        <v>31285</v>
      </c>
      <c r="H34" s="366">
        <v>45895</v>
      </c>
      <c r="I34" s="326"/>
      <c r="J34" s="334">
        <v>53200</v>
      </c>
      <c r="K34" s="329"/>
      <c r="L34" s="330"/>
      <c r="M34" s="307"/>
      <c r="N34" s="333"/>
      <c r="O34" s="326">
        <f t="shared" si="0"/>
        <v>53200</v>
      </c>
      <c r="P34" s="296">
        <f t="shared" si="1"/>
        <v>1095</v>
      </c>
    </row>
    <row r="35" spans="1:17" s="127" customFormat="1" ht="13" x14ac:dyDescent="0.25">
      <c r="A35" s="127">
        <f t="shared" si="2"/>
        <v>29</v>
      </c>
      <c r="B35" s="128" t="s">
        <v>43</v>
      </c>
      <c r="C35" s="129" t="s">
        <v>107</v>
      </c>
      <c r="D35" s="127" t="s">
        <v>143</v>
      </c>
      <c r="E35" s="132" t="s">
        <v>116</v>
      </c>
      <c r="F35" s="326">
        <v>24117</v>
      </c>
      <c r="G35" s="326">
        <v>33289</v>
      </c>
      <c r="H35" s="307">
        <v>40169</v>
      </c>
      <c r="I35" s="326">
        <v>38288</v>
      </c>
      <c r="J35" s="330">
        <v>47474</v>
      </c>
      <c r="K35" s="329"/>
      <c r="L35" s="330"/>
      <c r="M35" s="343"/>
      <c r="N35" s="333"/>
      <c r="O35" s="326">
        <f t="shared" si="0"/>
        <v>47474</v>
      </c>
      <c r="P35" s="296">
        <f t="shared" si="1"/>
        <v>1095</v>
      </c>
      <c r="Q35" s="346"/>
    </row>
    <row r="36" spans="1:17" s="127" customFormat="1" ht="13" x14ac:dyDescent="0.25">
      <c r="A36" s="127">
        <f t="shared" si="2"/>
        <v>30</v>
      </c>
      <c r="B36" s="128" t="s">
        <v>43</v>
      </c>
      <c r="C36" s="129" t="s">
        <v>107</v>
      </c>
      <c r="D36" s="127" t="s">
        <v>144</v>
      </c>
      <c r="E36" s="132" t="s">
        <v>116</v>
      </c>
      <c r="F36" s="326">
        <v>24394</v>
      </c>
      <c r="G36" s="326">
        <v>25945</v>
      </c>
      <c r="H36" s="307">
        <v>40555</v>
      </c>
      <c r="I36" s="326">
        <v>38288</v>
      </c>
      <c r="J36" s="330">
        <v>47860</v>
      </c>
      <c r="K36" s="329"/>
      <c r="L36" s="330"/>
      <c r="M36" s="343"/>
      <c r="N36" s="333"/>
      <c r="O36" s="326">
        <f t="shared" si="0"/>
        <v>47860</v>
      </c>
      <c r="P36" s="296">
        <f t="shared" si="1"/>
        <v>1095</v>
      </c>
      <c r="Q36" s="346"/>
    </row>
    <row r="37" spans="1:17" s="127" customFormat="1" x14ac:dyDescent="0.3">
      <c r="A37" s="127">
        <f t="shared" si="2"/>
        <v>31</v>
      </c>
      <c r="B37" s="128" t="s">
        <v>145</v>
      </c>
      <c r="C37" s="129" t="s">
        <v>107</v>
      </c>
      <c r="D37" s="131" t="s">
        <v>146</v>
      </c>
      <c r="E37" s="132" t="s">
        <v>66</v>
      </c>
      <c r="F37" s="326">
        <v>25476</v>
      </c>
      <c r="G37" s="326">
        <v>27315</v>
      </c>
      <c r="H37" s="307">
        <v>41857</v>
      </c>
      <c r="I37" s="326">
        <v>37271</v>
      </c>
      <c r="J37" s="330">
        <v>49162</v>
      </c>
      <c r="K37" s="329"/>
      <c r="L37" s="330"/>
      <c r="M37" s="307"/>
      <c r="N37" s="333"/>
      <c r="O37" s="326">
        <f t="shared" si="0"/>
        <v>49162</v>
      </c>
      <c r="P37" s="296">
        <f t="shared" si="1"/>
        <v>1095</v>
      </c>
    </row>
    <row r="38" spans="1:17" s="127" customFormat="1" x14ac:dyDescent="0.3">
      <c r="A38" s="127">
        <f t="shared" si="2"/>
        <v>32</v>
      </c>
      <c r="B38" s="128" t="s">
        <v>145</v>
      </c>
      <c r="C38" s="129" t="s">
        <v>107</v>
      </c>
      <c r="D38" s="131" t="s">
        <v>147</v>
      </c>
      <c r="E38" s="132" t="s">
        <v>66</v>
      </c>
      <c r="F38" s="326">
        <v>26660</v>
      </c>
      <c r="G38" s="326">
        <v>28654</v>
      </c>
      <c r="H38" s="307">
        <v>43264</v>
      </c>
      <c r="I38" s="326">
        <v>37271</v>
      </c>
      <c r="J38" s="330">
        <v>50569</v>
      </c>
      <c r="K38" s="329"/>
      <c r="L38" s="330"/>
      <c r="M38" s="307"/>
      <c r="N38" s="333"/>
      <c r="O38" s="326">
        <f t="shared" si="0"/>
        <v>50569</v>
      </c>
      <c r="P38" s="296">
        <f t="shared" si="1"/>
        <v>1095</v>
      </c>
    </row>
    <row r="39" spans="1:17" s="127" customFormat="1" x14ac:dyDescent="0.3">
      <c r="A39" s="127">
        <f t="shared" si="2"/>
        <v>33</v>
      </c>
      <c r="B39" s="128" t="s">
        <v>148</v>
      </c>
      <c r="C39" s="129" t="s">
        <v>107</v>
      </c>
      <c r="D39" s="127" t="s">
        <v>20</v>
      </c>
      <c r="E39" s="132" t="s">
        <v>19</v>
      </c>
      <c r="F39" s="326">
        <v>26568</v>
      </c>
      <c r="G39" s="326">
        <v>31243</v>
      </c>
      <c r="H39" s="307">
        <v>45736</v>
      </c>
      <c r="I39" s="326">
        <v>42719</v>
      </c>
      <c r="J39" s="330">
        <v>53041</v>
      </c>
      <c r="K39" s="329"/>
      <c r="L39" s="330"/>
      <c r="M39" s="308"/>
      <c r="N39" s="333"/>
      <c r="O39" s="326">
        <f t="shared" si="0"/>
        <v>53041</v>
      </c>
      <c r="P39" s="296">
        <f t="shared" si="1"/>
        <v>1095</v>
      </c>
    </row>
    <row r="40" spans="1:17" s="127" customFormat="1" x14ac:dyDescent="0.3">
      <c r="A40" s="127">
        <f t="shared" si="2"/>
        <v>34</v>
      </c>
      <c r="B40" s="128" t="s">
        <v>36</v>
      </c>
      <c r="C40" s="129" t="s">
        <v>107</v>
      </c>
      <c r="D40" s="127" t="s">
        <v>149</v>
      </c>
      <c r="E40" s="293" t="s">
        <v>109</v>
      </c>
      <c r="F40" s="326">
        <v>27276</v>
      </c>
      <c r="G40" s="326">
        <v>30987</v>
      </c>
      <c r="H40" s="307">
        <v>45597</v>
      </c>
      <c r="I40" s="326">
        <v>42705</v>
      </c>
      <c r="J40" s="330">
        <v>52902</v>
      </c>
      <c r="K40" s="329"/>
      <c r="L40" s="330"/>
      <c r="M40" s="307"/>
      <c r="N40" s="333"/>
      <c r="O40" s="326">
        <f t="shared" si="0"/>
        <v>52902</v>
      </c>
      <c r="P40" s="296">
        <f t="shared" si="1"/>
        <v>1095</v>
      </c>
    </row>
    <row r="41" spans="1:17" s="127" customFormat="1" x14ac:dyDescent="0.3">
      <c r="A41" s="127">
        <f t="shared" si="2"/>
        <v>35</v>
      </c>
      <c r="B41" s="128" t="s">
        <v>24</v>
      </c>
      <c r="C41" s="129" t="s">
        <v>107</v>
      </c>
      <c r="D41" s="127" t="s">
        <v>150</v>
      </c>
      <c r="E41" s="132" t="s">
        <v>21</v>
      </c>
      <c r="F41" s="326">
        <v>24575</v>
      </c>
      <c r="G41" s="326">
        <v>25780</v>
      </c>
      <c r="H41" s="307">
        <v>40390</v>
      </c>
      <c r="I41" s="326">
        <v>38096</v>
      </c>
      <c r="J41" s="330">
        <v>47695</v>
      </c>
      <c r="K41" s="329"/>
      <c r="L41" s="330"/>
      <c r="M41" s="308"/>
      <c r="N41" s="333"/>
      <c r="O41" s="326">
        <f t="shared" si="0"/>
        <v>47695</v>
      </c>
      <c r="P41" s="296">
        <f t="shared" si="1"/>
        <v>1095</v>
      </c>
    </row>
    <row r="42" spans="1:17" s="127" customFormat="1" x14ac:dyDescent="0.3">
      <c r="A42" s="127">
        <f t="shared" si="2"/>
        <v>36</v>
      </c>
      <c r="B42" s="128" t="s">
        <v>151</v>
      </c>
      <c r="C42" s="129" t="s">
        <v>107</v>
      </c>
      <c r="D42" s="127" t="s">
        <v>152</v>
      </c>
      <c r="E42" s="355" t="s">
        <v>153</v>
      </c>
      <c r="F42" s="326">
        <v>27337</v>
      </c>
      <c r="G42" s="326">
        <v>31618</v>
      </c>
      <c r="H42" s="307">
        <v>46123</v>
      </c>
      <c r="I42" s="326">
        <v>40744</v>
      </c>
      <c r="J42" s="330">
        <v>53428</v>
      </c>
      <c r="K42" s="329"/>
      <c r="L42" s="330"/>
      <c r="M42" s="307"/>
      <c r="N42" s="333"/>
      <c r="O42" s="326">
        <f t="shared" si="0"/>
        <v>53428</v>
      </c>
      <c r="P42" s="296">
        <f t="shared" si="1"/>
        <v>1095</v>
      </c>
    </row>
    <row r="43" spans="1:17" s="127" customFormat="1" x14ac:dyDescent="0.3">
      <c r="A43" s="127">
        <f t="shared" si="2"/>
        <v>37</v>
      </c>
      <c r="B43" s="128" t="s">
        <v>44</v>
      </c>
      <c r="C43" s="129" t="s">
        <v>107</v>
      </c>
      <c r="D43" s="131" t="s">
        <v>44</v>
      </c>
      <c r="E43" s="132" t="s">
        <v>116</v>
      </c>
      <c r="F43" s="326">
        <v>25708</v>
      </c>
      <c r="G43" s="326">
        <v>27319</v>
      </c>
      <c r="H43" s="307">
        <v>41929</v>
      </c>
      <c r="I43" s="326">
        <v>39699</v>
      </c>
      <c r="J43" s="330">
        <v>49234</v>
      </c>
      <c r="K43" s="329"/>
      <c r="L43" s="330"/>
      <c r="M43" s="307"/>
      <c r="N43" s="308"/>
      <c r="O43" s="326">
        <f t="shared" si="0"/>
        <v>49234</v>
      </c>
      <c r="P43" s="296">
        <f t="shared" si="1"/>
        <v>1095</v>
      </c>
    </row>
    <row r="44" spans="1:17" s="127" customFormat="1" x14ac:dyDescent="0.3">
      <c r="A44" s="127">
        <f t="shared" si="2"/>
        <v>38</v>
      </c>
      <c r="B44" s="128" t="s">
        <v>68</v>
      </c>
      <c r="C44" s="129" t="s">
        <v>107</v>
      </c>
      <c r="D44" s="127" t="s">
        <v>154</v>
      </c>
      <c r="E44" s="132" t="s">
        <v>155</v>
      </c>
      <c r="F44" s="326">
        <v>26527</v>
      </c>
      <c r="G44" s="326">
        <v>28301</v>
      </c>
      <c r="H44" s="307">
        <v>42911</v>
      </c>
      <c r="I44" s="326">
        <v>38484</v>
      </c>
      <c r="J44" s="330">
        <v>50216</v>
      </c>
      <c r="K44" s="329"/>
      <c r="L44" s="330"/>
      <c r="M44" s="308"/>
      <c r="N44" s="333"/>
      <c r="O44" s="326">
        <f t="shared" si="0"/>
        <v>50216</v>
      </c>
      <c r="P44" s="296">
        <f t="shared" si="1"/>
        <v>1095</v>
      </c>
    </row>
    <row r="45" spans="1:17" s="127" customFormat="1" x14ac:dyDescent="0.3">
      <c r="A45" s="127">
        <f t="shared" si="2"/>
        <v>39</v>
      </c>
      <c r="B45" s="128" t="s">
        <v>68</v>
      </c>
      <c r="C45" s="129" t="s">
        <v>107</v>
      </c>
      <c r="D45" s="127" t="s">
        <v>156</v>
      </c>
      <c r="E45" s="132" t="s">
        <v>155</v>
      </c>
      <c r="F45" s="326">
        <v>26527</v>
      </c>
      <c r="G45" s="326">
        <v>29676</v>
      </c>
      <c r="H45" s="307">
        <v>44286</v>
      </c>
      <c r="I45" s="326">
        <v>38484</v>
      </c>
      <c r="J45" s="330">
        <v>51591</v>
      </c>
      <c r="K45" s="329"/>
      <c r="L45" s="330"/>
      <c r="M45" s="307"/>
      <c r="N45" s="333"/>
      <c r="O45" s="326">
        <f t="shared" si="0"/>
        <v>51591</v>
      </c>
      <c r="P45" s="296">
        <f t="shared" si="1"/>
        <v>1095</v>
      </c>
    </row>
    <row r="46" spans="1:17" s="127" customFormat="1" x14ac:dyDescent="0.3">
      <c r="A46" s="127">
        <f t="shared" si="2"/>
        <v>40</v>
      </c>
      <c r="B46" s="128" t="s">
        <v>45</v>
      </c>
      <c r="C46" s="129" t="s">
        <v>107</v>
      </c>
      <c r="D46" s="131" t="s">
        <v>157</v>
      </c>
      <c r="E46" s="132" t="s">
        <v>116</v>
      </c>
      <c r="F46" s="326">
        <v>26917</v>
      </c>
      <c r="G46" s="326">
        <v>30058</v>
      </c>
      <c r="H46" s="307">
        <v>44668</v>
      </c>
      <c r="I46" s="326">
        <v>42662</v>
      </c>
      <c r="J46" s="330">
        <v>51973</v>
      </c>
      <c r="K46" s="329"/>
      <c r="L46" s="330"/>
      <c r="M46" s="307"/>
      <c r="N46" s="333"/>
      <c r="O46" s="326">
        <f t="shared" si="0"/>
        <v>51973</v>
      </c>
      <c r="P46" s="296">
        <f t="shared" si="1"/>
        <v>1095</v>
      </c>
    </row>
    <row r="47" spans="1:17" s="127" customFormat="1" x14ac:dyDescent="0.3">
      <c r="A47" s="127">
        <f t="shared" si="2"/>
        <v>41</v>
      </c>
      <c r="B47" s="128" t="s">
        <v>45</v>
      </c>
      <c r="C47" s="129" t="s">
        <v>107</v>
      </c>
      <c r="D47" s="131" t="s">
        <v>158</v>
      </c>
      <c r="E47" s="132" t="s">
        <v>116</v>
      </c>
      <c r="F47" s="326">
        <v>26917</v>
      </c>
      <c r="G47" s="326">
        <v>30666</v>
      </c>
      <c r="H47" s="307">
        <v>45276</v>
      </c>
      <c r="I47" s="326">
        <v>42662</v>
      </c>
      <c r="J47" s="330">
        <v>52581</v>
      </c>
      <c r="K47" s="329"/>
      <c r="L47" s="330"/>
      <c r="M47" s="307"/>
      <c r="N47" s="333"/>
      <c r="O47" s="326">
        <f t="shared" si="0"/>
        <v>52581</v>
      </c>
      <c r="P47" s="296">
        <f t="shared" si="1"/>
        <v>1095</v>
      </c>
    </row>
    <row r="48" spans="1:17" s="127" customFormat="1" x14ac:dyDescent="0.3">
      <c r="A48" s="127">
        <f t="shared" si="2"/>
        <v>42</v>
      </c>
      <c r="B48" s="128" t="s">
        <v>46</v>
      </c>
      <c r="C48" s="129" t="s">
        <v>107</v>
      </c>
      <c r="D48" s="127" t="s">
        <v>159</v>
      </c>
      <c r="E48" s="132" t="s">
        <v>116</v>
      </c>
      <c r="F48" s="326">
        <v>27199</v>
      </c>
      <c r="G48" s="326">
        <v>31267</v>
      </c>
      <c r="H48" s="307">
        <v>45591</v>
      </c>
      <c r="I48" s="326">
        <v>41932</v>
      </c>
      <c r="J48" s="330">
        <v>52896</v>
      </c>
      <c r="K48" s="329"/>
      <c r="L48" s="330"/>
      <c r="M48" s="307"/>
      <c r="N48" s="333"/>
      <c r="O48" s="326">
        <f t="shared" si="0"/>
        <v>52896</v>
      </c>
      <c r="P48" s="296">
        <f t="shared" si="1"/>
        <v>1095</v>
      </c>
    </row>
    <row r="49" spans="1:16" s="127" customFormat="1" x14ac:dyDescent="0.3">
      <c r="A49" s="127">
        <f t="shared" si="2"/>
        <v>43</v>
      </c>
      <c r="B49" s="128" t="s">
        <v>46</v>
      </c>
      <c r="C49" s="129" t="s">
        <v>107</v>
      </c>
      <c r="D49" s="127" t="s">
        <v>160</v>
      </c>
      <c r="E49" s="132" t="s">
        <v>116</v>
      </c>
      <c r="F49" s="326">
        <v>27199</v>
      </c>
      <c r="G49" s="326">
        <v>32745</v>
      </c>
      <c r="H49" s="307">
        <v>47291</v>
      </c>
      <c r="I49" s="326">
        <v>41932</v>
      </c>
      <c r="J49" s="330">
        <v>54596</v>
      </c>
      <c r="K49" s="329"/>
      <c r="L49" s="330"/>
      <c r="M49" s="307"/>
      <c r="N49" s="333"/>
      <c r="O49" s="326">
        <f t="shared" si="0"/>
        <v>54596</v>
      </c>
      <c r="P49" s="296">
        <f t="shared" si="1"/>
        <v>1095</v>
      </c>
    </row>
    <row r="50" spans="1:16" s="127" customFormat="1" x14ac:dyDescent="0.3">
      <c r="A50" s="127">
        <f t="shared" si="2"/>
        <v>44</v>
      </c>
      <c r="B50" s="128" t="s">
        <v>25</v>
      </c>
      <c r="C50" s="129" t="s">
        <v>107</v>
      </c>
      <c r="D50" s="127" t="s">
        <v>161</v>
      </c>
      <c r="E50" s="132" t="s">
        <v>21</v>
      </c>
      <c r="F50" s="326">
        <v>26718</v>
      </c>
      <c r="G50" s="326">
        <v>29775</v>
      </c>
      <c r="H50" s="307">
        <v>44359</v>
      </c>
      <c r="I50" s="326">
        <v>37960</v>
      </c>
      <c r="J50" s="330">
        <v>51664</v>
      </c>
      <c r="K50" s="329"/>
      <c r="L50" s="330"/>
      <c r="M50" s="307"/>
      <c r="N50" s="333"/>
      <c r="O50" s="326">
        <f t="shared" si="0"/>
        <v>51664</v>
      </c>
      <c r="P50" s="296">
        <f t="shared" si="1"/>
        <v>1095</v>
      </c>
    </row>
    <row r="51" spans="1:16" s="127" customFormat="1" x14ac:dyDescent="0.3">
      <c r="A51" s="127">
        <f t="shared" si="2"/>
        <v>45</v>
      </c>
      <c r="B51" s="128" t="s">
        <v>25</v>
      </c>
      <c r="C51" s="129" t="s">
        <v>107</v>
      </c>
      <c r="D51" s="127" t="s">
        <v>162</v>
      </c>
      <c r="E51" s="132" t="s">
        <v>21</v>
      </c>
      <c r="F51" s="326">
        <v>26718</v>
      </c>
      <c r="G51" s="326">
        <v>30463</v>
      </c>
      <c r="H51" s="307">
        <v>44988</v>
      </c>
      <c r="I51" s="326">
        <v>37960</v>
      </c>
      <c r="J51" s="330">
        <v>52293</v>
      </c>
      <c r="K51" s="329"/>
      <c r="L51" s="330"/>
      <c r="M51" s="307"/>
      <c r="N51" s="333"/>
      <c r="O51" s="326">
        <f t="shared" si="0"/>
        <v>52293</v>
      </c>
      <c r="P51" s="296">
        <f t="shared" si="1"/>
        <v>1095</v>
      </c>
    </row>
    <row r="52" spans="1:16" s="127" customFormat="1" x14ac:dyDescent="0.3">
      <c r="A52" s="127">
        <f t="shared" si="2"/>
        <v>46</v>
      </c>
      <c r="B52" s="128" t="s">
        <v>13</v>
      </c>
      <c r="C52" s="129" t="s">
        <v>107</v>
      </c>
      <c r="D52" s="127" t="s">
        <v>163</v>
      </c>
      <c r="E52" s="132" t="s">
        <v>12</v>
      </c>
      <c r="F52" s="326">
        <v>25913</v>
      </c>
      <c r="G52" s="326">
        <v>27663</v>
      </c>
      <c r="H52" s="307">
        <v>42216</v>
      </c>
      <c r="I52" s="326">
        <v>38684</v>
      </c>
      <c r="J52" s="330">
        <v>49521</v>
      </c>
      <c r="K52" s="329"/>
      <c r="L52" s="330"/>
      <c r="M52" s="307"/>
      <c r="N52" s="333"/>
      <c r="O52" s="326">
        <f t="shared" si="0"/>
        <v>49521</v>
      </c>
      <c r="P52" s="296">
        <f t="shared" si="1"/>
        <v>1095</v>
      </c>
    </row>
    <row r="53" spans="1:16" s="127" customFormat="1" x14ac:dyDescent="0.3">
      <c r="A53" s="127">
        <f t="shared" si="2"/>
        <v>47</v>
      </c>
      <c r="B53" s="128" t="s">
        <v>13</v>
      </c>
      <c r="C53" s="129" t="s">
        <v>107</v>
      </c>
      <c r="D53" s="127" t="s">
        <v>164</v>
      </c>
      <c r="E53" s="132" t="s">
        <v>12</v>
      </c>
      <c r="F53" s="326">
        <v>27250</v>
      </c>
      <c r="G53" s="326">
        <v>31443</v>
      </c>
      <c r="H53" s="307">
        <v>45986</v>
      </c>
      <c r="I53" s="326">
        <v>38684</v>
      </c>
      <c r="J53" s="330">
        <v>53291</v>
      </c>
      <c r="K53" s="329"/>
      <c r="L53" s="330"/>
      <c r="M53" s="307"/>
      <c r="N53" s="333"/>
      <c r="O53" s="326">
        <f t="shared" si="0"/>
        <v>53291</v>
      </c>
      <c r="P53" s="296">
        <f t="shared" si="1"/>
        <v>1095</v>
      </c>
    </row>
    <row r="54" spans="1:16" s="127" customFormat="1" x14ac:dyDescent="0.3">
      <c r="A54" s="127">
        <f t="shared" si="2"/>
        <v>48</v>
      </c>
      <c r="B54" s="128" t="s">
        <v>81</v>
      </c>
      <c r="C54" s="129" t="s">
        <v>107</v>
      </c>
      <c r="D54" s="127" t="s">
        <v>81</v>
      </c>
      <c r="E54" s="132" t="s">
        <v>80</v>
      </c>
      <c r="F54" s="326">
        <v>24642</v>
      </c>
      <c r="G54" s="326">
        <v>29595</v>
      </c>
      <c r="H54" s="307">
        <v>40429</v>
      </c>
      <c r="I54" s="326">
        <v>39029</v>
      </c>
      <c r="J54" s="330">
        <v>47734</v>
      </c>
      <c r="K54" s="329"/>
      <c r="L54" s="330"/>
      <c r="M54" s="307"/>
      <c r="N54" s="333"/>
      <c r="O54" s="326">
        <f t="shared" si="0"/>
        <v>47734</v>
      </c>
      <c r="P54" s="296">
        <f t="shared" si="1"/>
        <v>1095</v>
      </c>
    </row>
    <row r="55" spans="1:16" s="127" customFormat="1" x14ac:dyDescent="0.3">
      <c r="A55" s="127">
        <f t="shared" si="2"/>
        <v>49</v>
      </c>
      <c r="B55" s="128" t="s">
        <v>47</v>
      </c>
      <c r="C55" s="129" t="s">
        <v>107</v>
      </c>
      <c r="D55" s="127" t="s">
        <v>165</v>
      </c>
      <c r="E55" s="132" t="s">
        <v>116</v>
      </c>
      <c r="F55" s="326">
        <v>23844</v>
      </c>
      <c r="G55" s="326">
        <v>27389</v>
      </c>
      <c r="H55" s="307">
        <v>40047</v>
      </c>
      <c r="I55" s="326">
        <v>39021</v>
      </c>
      <c r="J55" s="330">
        <v>47352</v>
      </c>
      <c r="K55" s="329"/>
      <c r="L55" s="330"/>
      <c r="M55" s="307"/>
      <c r="N55" s="333"/>
      <c r="O55" s="326">
        <f t="shared" si="0"/>
        <v>47352</v>
      </c>
      <c r="P55" s="296">
        <f t="shared" si="1"/>
        <v>1095</v>
      </c>
    </row>
    <row r="56" spans="1:16" s="127" customFormat="1" x14ac:dyDescent="0.3">
      <c r="A56" s="127">
        <f t="shared" si="2"/>
        <v>50</v>
      </c>
      <c r="B56" s="128" t="s">
        <v>47</v>
      </c>
      <c r="C56" s="129" t="s">
        <v>107</v>
      </c>
      <c r="D56" s="127" t="s">
        <v>166</v>
      </c>
      <c r="E56" s="132" t="s">
        <v>116</v>
      </c>
      <c r="F56" s="326">
        <v>27204</v>
      </c>
      <c r="G56" s="326">
        <v>31960</v>
      </c>
      <c r="H56" s="307">
        <v>46326</v>
      </c>
      <c r="I56" s="326">
        <v>39021</v>
      </c>
      <c r="J56" s="330">
        <v>53631</v>
      </c>
      <c r="K56" s="329"/>
      <c r="L56" s="330"/>
      <c r="M56" s="307"/>
      <c r="N56" s="333"/>
      <c r="O56" s="326">
        <f t="shared" si="0"/>
        <v>53631</v>
      </c>
      <c r="P56" s="296">
        <f t="shared" si="1"/>
        <v>1095</v>
      </c>
    </row>
    <row r="57" spans="1:16" s="127" customFormat="1" x14ac:dyDescent="0.3">
      <c r="A57" s="127">
        <f t="shared" si="2"/>
        <v>51</v>
      </c>
      <c r="B57" s="128" t="s">
        <v>16</v>
      </c>
      <c r="C57" s="129" t="s">
        <v>107</v>
      </c>
      <c r="D57" s="127" t="s">
        <v>167</v>
      </c>
      <c r="E57" s="132" t="s">
        <v>12</v>
      </c>
      <c r="F57" s="326">
        <v>25983</v>
      </c>
      <c r="G57" s="326">
        <v>28581</v>
      </c>
      <c r="H57" s="307">
        <v>43191</v>
      </c>
      <c r="I57" s="326">
        <v>37700</v>
      </c>
      <c r="J57" s="330">
        <v>50496</v>
      </c>
      <c r="K57" s="329"/>
      <c r="L57" s="330"/>
      <c r="M57" s="307"/>
      <c r="N57" s="333"/>
      <c r="O57" s="326">
        <f t="shared" si="0"/>
        <v>50496</v>
      </c>
      <c r="P57" s="296">
        <f t="shared" si="1"/>
        <v>1095</v>
      </c>
    </row>
    <row r="58" spans="1:16" s="127" customFormat="1" x14ac:dyDescent="0.3">
      <c r="A58" s="127">
        <f t="shared" si="2"/>
        <v>52</v>
      </c>
      <c r="B58" s="128" t="s">
        <v>16</v>
      </c>
      <c r="C58" s="129" t="s">
        <v>107</v>
      </c>
      <c r="D58" s="127" t="s">
        <v>168</v>
      </c>
      <c r="E58" s="132" t="s">
        <v>12</v>
      </c>
      <c r="F58" s="326">
        <v>25983</v>
      </c>
      <c r="G58" s="326">
        <v>29454</v>
      </c>
      <c r="H58" s="307">
        <v>44064</v>
      </c>
      <c r="I58" s="326">
        <v>37700</v>
      </c>
      <c r="J58" s="330">
        <v>51369</v>
      </c>
      <c r="K58" s="329"/>
      <c r="L58" s="330"/>
      <c r="M58" s="307"/>
      <c r="N58" s="333"/>
      <c r="O58" s="326">
        <f t="shared" si="0"/>
        <v>51369</v>
      </c>
      <c r="P58" s="296">
        <f t="shared" si="1"/>
        <v>1095</v>
      </c>
    </row>
    <row r="59" spans="1:16" s="127" customFormat="1" x14ac:dyDescent="0.3">
      <c r="A59" s="127">
        <f t="shared" si="2"/>
        <v>53</v>
      </c>
      <c r="B59" s="128" t="s">
        <v>26</v>
      </c>
      <c r="C59" s="129" t="s">
        <v>107</v>
      </c>
      <c r="D59" s="127" t="s">
        <v>169</v>
      </c>
      <c r="E59" s="132" t="s">
        <v>21</v>
      </c>
      <c r="F59" s="326">
        <v>24782</v>
      </c>
      <c r="G59" s="326">
        <v>26701</v>
      </c>
      <c r="H59" s="307">
        <v>41311</v>
      </c>
      <c r="I59" s="326">
        <v>36669</v>
      </c>
      <c r="J59" s="330">
        <v>48616</v>
      </c>
      <c r="K59" s="329"/>
      <c r="L59" s="330"/>
      <c r="M59" s="307"/>
      <c r="N59" s="333"/>
      <c r="O59" s="326">
        <f t="shared" si="0"/>
        <v>48616</v>
      </c>
      <c r="P59" s="296">
        <f t="shared" si="1"/>
        <v>1095</v>
      </c>
    </row>
    <row r="60" spans="1:16" s="127" customFormat="1" x14ac:dyDescent="0.3">
      <c r="A60" s="127">
        <f t="shared" si="2"/>
        <v>54</v>
      </c>
      <c r="B60" s="128" t="s">
        <v>26</v>
      </c>
      <c r="C60" s="129" t="s">
        <v>107</v>
      </c>
      <c r="D60" s="127" t="s">
        <v>170</v>
      </c>
      <c r="E60" s="132" t="s">
        <v>21</v>
      </c>
      <c r="F60" s="326">
        <v>24782</v>
      </c>
      <c r="G60" s="326">
        <v>26943</v>
      </c>
      <c r="H60" s="307">
        <v>41553</v>
      </c>
      <c r="I60" s="326">
        <v>36669</v>
      </c>
      <c r="J60" s="330">
        <v>48858</v>
      </c>
      <c r="K60" s="329"/>
      <c r="L60" s="330"/>
      <c r="M60" s="307"/>
      <c r="N60" s="333"/>
      <c r="O60" s="326">
        <f t="shared" si="0"/>
        <v>48858</v>
      </c>
      <c r="P60" s="296">
        <f t="shared" si="1"/>
        <v>1095</v>
      </c>
    </row>
    <row r="61" spans="1:16" s="127" customFormat="1" x14ac:dyDescent="0.3">
      <c r="A61" s="127">
        <f t="shared" si="2"/>
        <v>55</v>
      </c>
      <c r="B61" s="128" t="s">
        <v>26</v>
      </c>
      <c r="C61" s="129" t="s">
        <v>107</v>
      </c>
      <c r="D61" s="127" t="s">
        <v>171</v>
      </c>
      <c r="E61" s="132" t="s">
        <v>21</v>
      </c>
      <c r="F61" s="326">
        <v>24782</v>
      </c>
      <c r="G61" s="326">
        <v>27229</v>
      </c>
      <c r="H61" s="307">
        <v>41839</v>
      </c>
      <c r="I61" s="326">
        <v>36669</v>
      </c>
      <c r="J61" s="330">
        <v>49144</v>
      </c>
      <c r="K61" s="329"/>
      <c r="L61" s="330"/>
      <c r="M61" s="307"/>
      <c r="N61" s="333"/>
      <c r="O61" s="326">
        <f t="shared" si="0"/>
        <v>49144</v>
      </c>
      <c r="P61" s="296">
        <f t="shared" si="1"/>
        <v>1095</v>
      </c>
    </row>
    <row r="62" spans="1:16" s="127" customFormat="1" x14ac:dyDescent="0.3">
      <c r="A62" s="127">
        <f t="shared" si="2"/>
        <v>56</v>
      </c>
      <c r="B62" s="128" t="s">
        <v>10</v>
      </c>
      <c r="C62" s="129" t="s">
        <v>107</v>
      </c>
      <c r="D62" s="127" t="s">
        <v>172</v>
      </c>
      <c r="E62" s="132" t="s">
        <v>173</v>
      </c>
      <c r="F62" s="326">
        <v>27905</v>
      </c>
      <c r="G62" s="326">
        <v>31199</v>
      </c>
      <c r="H62" s="307">
        <v>45657</v>
      </c>
      <c r="I62" s="326">
        <v>40654</v>
      </c>
      <c r="J62" s="330">
        <v>53114</v>
      </c>
      <c r="K62" s="329"/>
      <c r="L62" s="330"/>
      <c r="M62" s="307"/>
      <c r="N62" s="333"/>
      <c r="O62" s="326">
        <f t="shared" si="0"/>
        <v>53114</v>
      </c>
      <c r="P62" s="296">
        <f t="shared" si="1"/>
        <v>1095</v>
      </c>
    </row>
    <row r="63" spans="1:16" s="127" customFormat="1" x14ac:dyDescent="0.3">
      <c r="A63" s="127">
        <f t="shared" si="2"/>
        <v>57</v>
      </c>
      <c r="B63" s="128" t="s">
        <v>10</v>
      </c>
      <c r="C63" s="129" t="s">
        <v>107</v>
      </c>
      <c r="D63" s="127" t="s">
        <v>174</v>
      </c>
      <c r="E63" s="132" t="s">
        <v>173</v>
      </c>
      <c r="F63" s="326">
        <v>27905</v>
      </c>
      <c r="G63" s="326">
        <v>31526</v>
      </c>
      <c r="H63" s="307">
        <v>46000</v>
      </c>
      <c r="I63" s="326">
        <v>40654</v>
      </c>
      <c r="J63" s="330">
        <v>53441</v>
      </c>
      <c r="K63" s="329"/>
      <c r="L63" s="330"/>
      <c r="M63" s="307"/>
      <c r="N63" s="333"/>
      <c r="O63" s="326">
        <f t="shared" si="0"/>
        <v>53441</v>
      </c>
      <c r="P63" s="296">
        <f t="shared" si="1"/>
        <v>1095</v>
      </c>
    </row>
    <row r="64" spans="1:16" s="127" customFormat="1" x14ac:dyDescent="0.3">
      <c r="A64" s="127">
        <f t="shared" si="2"/>
        <v>58</v>
      </c>
      <c r="B64" s="128" t="s">
        <v>10</v>
      </c>
      <c r="C64" s="129" t="s">
        <v>107</v>
      </c>
      <c r="D64" s="127" t="s">
        <v>175</v>
      </c>
      <c r="E64" s="132" t="s">
        <v>173</v>
      </c>
      <c r="F64" s="326">
        <v>27905</v>
      </c>
      <c r="G64" s="326">
        <v>32106</v>
      </c>
      <c r="H64" s="307">
        <v>46471</v>
      </c>
      <c r="I64" s="326">
        <v>40654</v>
      </c>
      <c r="J64" s="330">
        <v>54021</v>
      </c>
      <c r="K64" s="329"/>
      <c r="L64" s="330"/>
      <c r="M64" s="307"/>
      <c r="N64" s="333"/>
      <c r="O64" s="326">
        <f t="shared" si="0"/>
        <v>54021</v>
      </c>
      <c r="P64" s="296">
        <f t="shared" si="1"/>
        <v>1095</v>
      </c>
    </row>
    <row r="65" spans="1:16" s="127" customFormat="1" x14ac:dyDescent="0.3">
      <c r="A65" s="127">
        <f t="shared" si="2"/>
        <v>59</v>
      </c>
      <c r="B65" s="128" t="s">
        <v>176</v>
      </c>
      <c r="C65" s="129" t="s">
        <v>107</v>
      </c>
      <c r="D65" s="127" t="s">
        <v>177</v>
      </c>
      <c r="E65" s="132" t="s">
        <v>116</v>
      </c>
      <c r="F65" s="326">
        <v>24868</v>
      </c>
      <c r="G65" s="326">
        <v>26962</v>
      </c>
      <c r="H65" s="307">
        <v>41494</v>
      </c>
      <c r="I65" s="326">
        <v>37748</v>
      </c>
      <c r="J65" s="330">
        <v>48799</v>
      </c>
      <c r="K65" s="325">
        <v>43895</v>
      </c>
      <c r="L65" s="330">
        <v>56104</v>
      </c>
      <c r="M65" s="307"/>
      <c r="N65" s="333"/>
      <c r="O65" s="326">
        <f t="shared" si="0"/>
        <v>56104</v>
      </c>
      <c r="P65" s="296">
        <f t="shared" si="1"/>
        <v>1095</v>
      </c>
    </row>
    <row r="66" spans="1:16" s="127" customFormat="1" x14ac:dyDescent="0.3">
      <c r="A66" s="127">
        <f t="shared" si="2"/>
        <v>60</v>
      </c>
      <c r="B66" s="128" t="s">
        <v>176</v>
      </c>
      <c r="C66" s="129" t="s">
        <v>107</v>
      </c>
      <c r="D66" s="127" t="s">
        <v>178</v>
      </c>
      <c r="E66" s="132" t="s">
        <v>116</v>
      </c>
      <c r="F66" s="326">
        <v>24868</v>
      </c>
      <c r="G66" s="326">
        <v>27212</v>
      </c>
      <c r="H66" s="307">
        <v>41822</v>
      </c>
      <c r="I66" s="326">
        <v>37748</v>
      </c>
      <c r="J66" s="325">
        <v>49127</v>
      </c>
      <c r="K66" s="329">
        <v>43895</v>
      </c>
      <c r="L66" s="330">
        <v>56432</v>
      </c>
      <c r="M66" s="307"/>
      <c r="N66" s="333"/>
      <c r="O66" s="326">
        <f t="shared" si="0"/>
        <v>56432</v>
      </c>
      <c r="P66" s="296">
        <f t="shared" si="1"/>
        <v>1095</v>
      </c>
    </row>
    <row r="67" spans="1:16" s="127" customFormat="1" ht="14" x14ac:dyDescent="0.3">
      <c r="A67" s="127">
        <f t="shared" si="2"/>
        <v>61</v>
      </c>
      <c r="B67" s="128" t="s">
        <v>31</v>
      </c>
      <c r="C67" s="357" t="s">
        <v>107</v>
      </c>
      <c r="D67" s="358" t="s">
        <v>179</v>
      </c>
      <c r="E67" s="359" t="s">
        <v>113</v>
      </c>
      <c r="F67" s="326">
        <v>28248</v>
      </c>
      <c r="G67" s="326">
        <v>31729</v>
      </c>
      <c r="H67" s="366">
        <v>46099</v>
      </c>
      <c r="I67" s="326"/>
      <c r="J67" s="334">
        <v>53404</v>
      </c>
      <c r="K67" s="329"/>
      <c r="L67" s="330"/>
      <c r="M67" s="307"/>
      <c r="N67" s="333"/>
      <c r="O67" s="326">
        <f t="shared" si="0"/>
        <v>53404</v>
      </c>
      <c r="P67" s="296">
        <f t="shared" si="1"/>
        <v>1095</v>
      </c>
    </row>
    <row r="68" spans="1:16" s="127" customFormat="1" x14ac:dyDescent="0.3">
      <c r="A68" s="127">
        <f t="shared" si="2"/>
        <v>62</v>
      </c>
      <c r="B68" s="128" t="s">
        <v>58</v>
      </c>
      <c r="C68" s="129" t="s">
        <v>107</v>
      </c>
      <c r="D68" s="127" t="s">
        <v>180</v>
      </c>
      <c r="E68" s="132" t="s">
        <v>181</v>
      </c>
      <c r="F68" s="326">
        <v>24672</v>
      </c>
      <c r="G68" s="326">
        <v>25846</v>
      </c>
      <c r="H68" s="307">
        <v>40456</v>
      </c>
      <c r="I68" s="326">
        <v>38708</v>
      </c>
      <c r="J68" s="330">
        <v>47761</v>
      </c>
      <c r="K68" s="329"/>
      <c r="L68" s="330"/>
      <c r="M68" s="308"/>
      <c r="N68" s="333"/>
      <c r="O68" s="326">
        <f t="shared" si="0"/>
        <v>47761</v>
      </c>
      <c r="P68" s="296">
        <f t="shared" si="1"/>
        <v>1095</v>
      </c>
    </row>
    <row r="69" spans="1:16" s="127" customFormat="1" x14ac:dyDescent="0.3">
      <c r="A69" s="127">
        <f t="shared" si="2"/>
        <v>63</v>
      </c>
      <c r="B69" s="128" t="s">
        <v>58</v>
      </c>
      <c r="C69" s="129" t="s">
        <v>107</v>
      </c>
      <c r="D69" s="127" t="s">
        <v>182</v>
      </c>
      <c r="E69" s="132" t="s">
        <v>181</v>
      </c>
      <c r="F69" s="326">
        <v>25044</v>
      </c>
      <c r="G69" s="326">
        <v>26731</v>
      </c>
      <c r="H69" s="307">
        <v>41341</v>
      </c>
      <c r="I69" s="326">
        <v>38708</v>
      </c>
      <c r="J69" s="330">
        <v>48646</v>
      </c>
      <c r="K69" s="329"/>
      <c r="L69" s="330"/>
      <c r="M69" s="307"/>
      <c r="N69" s="333"/>
      <c r="O69" s="326">
        <f t="shared" si="0"/>
        <v>48646</v>
      </c>
      <c r="P69" s="296">
        <f t="shared" si="1"/>
        <v>1095</v>
      </c>
    </row>
    <row r="70" spans="1:16" s="127" customFormat="1" x14ac:dyDescent="0.3">
      <c r="A70" s="127">
        <f t="shared" si="2"/>
        <v>64</v>
      </c>
      <c r="B70" s="128" t="s">
        <v>82</v>
      </c>
      <c r="C70" s="129" t="s">
        <v>107</v>
      </c>
      <c r="D70" s="127" t="s">
        <v>183</v>
      </c>
      <c r="E70" s="132" t="s">
        <v>80</v>
      </c>
      <c r="F70" s="326">
        <v>25014</v>
      </c>
      <c r="G70" s="326">
        <v>27124</v>
      </c>
      <c r="H70" s="307">
        <v>41495</v>
      </c>
      <c r="I70" s="326">
        <v>40721</v>
      </c>
      <c r="J70" s="330">
        <v>48800</v>
      </c>
      <c r="K70" s="329"/>
      <c r="L70" s="330"/>
      <c r="M70" s="307"/>
      <c r="N70" s="333"/>
      <c r="O70" s="326">
        <f t="shared" ref="O70:O100" si="3">IF(M70&gt;0,M70,IF(L70&gt;0,L70,IF(J70&gt;0,J70,H70)))</f>
        <v>48800</v>
      </c>
      <c r="P70" s="296">
        <f t="shared" si="1"/>
        <v>1095</v>
      </c>
    </row>
    <row r="71" spans="1:16" s="127" customFormat="1" x14ac:dyDescent="0.3">
      <c r="A71" s="127">
        <f t="shared" si="2"/>
        <v>65</v>
      </c>
      <c r="B71" s="128" t="s">
        <v>184</v>
      </c>
      <c r="C71" s="129" t="s">
        <v>107</v>
      </c>
      <c r="D71" s="127" t="s">
        <v>185</v>
      </c>
      <c r="E71" s="132" t="s">
        <v>80</v>
      </c>
      <c r="F71" s="326">
        <v>25014</v>
      </c>
      <c r="G71" s="326">
        <v>27331</v>
      </c>
      <c r="H71" s="307">
        <v>41941</v>
      </c>
      <c r="I71" s="326">
        <v>40721</v>
      </c>
      <c r="J71" s="330">
        <v>49246</v>
      </c>
      <c r="K71" s="329"/>
      <c r="L71" s="330"/>
      <c r="M71" s="307"/>
      <c r="N71" s="333"/>
      <c r="O71" s="326">
        <f t="shared" si="3"/>
        <v>49246</v>
      </c>
      <c r="P71" s="296">
        <f t="shared" ref="P71:P100" si="4">IF(O71&gt;$K$3,365*3, M71-$K$2)</f>
        <v>1095</v>
      </c>
    </row>
    <row r="72" spans="1:16" s="127" customFormat="1" x14ac:dyDescent="0.3">
      <c r="A72" s="127">
        <f t="shared" si="2"/>
        <v>66</v>
      </c>
      <c r="B72" s="128" t="s">
        <v>49</v>
      </c>
      <c r="C72" s="129" t="s">
        <v>107</v>
      </c>
      <c r="D72" s="127" t="s">
        <v>186</v>
      </c>
      <c r="E72" s="132" t="s">
        <v>116</v>
      </c>
      <c r="F72" s="326">
        <v>24518</v>
      </c>
      <c r="G72" s="326">
        <v>26647</v>
      </c>
      <c r="H72" s="307">
        <v>41257</v>
      </c>
      <c r="I72" s="326">
        <v>38288</v>
      </c>
      <c r="J72" s="330">
        <v>48562</v>
      </c>
      <c r="K72" s="329"/>
      <c r="L72" s="330"/>
      <c r="M72" s="307"/>
      <c r="N72" s="333"/>
      <c r="O72" s="326">
        <f t="shared" si="3"/>
        <v>48562</v>
      </c>
      <c r="P72" s="296">
        <f t="shared" si="4"/>
        <v>1095</v>
      </c>
    </row>
    <row r="73" spans="1:16" s="127" customFormat="1" x14ac:dyDescent="0.3">
      <c r="A73" s="127">
        <f t="shared" ref="A73:A100" si="5">A72+1</f>
        <v>67</v>
      </c>
      <c r="B73" s="128" t="s">
        <v>49</v>
      </c>
      <c r="C73" s="129" t="s">
        <v>107</v>
      </c>
      <c r="D73" s="127" t="s">
        <v>187</v>
      </c>
      <c r="E73" s="132" t="s">
        <v>116</v>
      </c>
      <c r="F73" s="326">
        <v>24518</v>
      </c>
      <c r="G73" s="326">
        <v>26647</v>
      </c>
      <c r="H73" s="307">
        <v>41257</v>
      </c>
      <c r="I73" s="326">
        <v>38288</v>
      </c>
      <c r="J73" s="330">
        <v>48562</v>
      </c>
      <c r="K73" s="329"/>
      <c r="L73" s="330"/>
      <c r="M73" s="307"/>
      <c r="N73" s="333"/>
      <c r="O73" s="326">
        <f t="shared" si="3"/>
        <v>48562</v>
      </c>
      <c r="P73" s="296">
        <f t="shared" si="4"/>
        <v>1095</v>
      </c>
    </row>
    <row r="74" spans="1:16" s="127" customFormat="1" x14ac:dyDescent="0.3">
      <c r="A74" s="127">
        <f t="shared" si="5"/>
        <v>68</v>
      </c>
      <c r="B74" s="128" t="s">
        <v>50</v>
      </c>
      <c r="C74" s="129" t="s">
        <v>107</v>
      </c>
      <c r="D74" s="131" t="s">
        <v>50</v>
      </c>
      <c r="E74" s="132" t="s">
        <v>116</v>
      </c>
      <c r="F74" s="326">
        <v>24222</v>
      </c>
      <c r="G74" s="326">
        <v>25465</v>
      </c>
      <c r="H74" s="307">
        <v>40074</v>
      </c>
      <c r="I74" s="326">
        <v>38126</v>
      </c>
      <c r="J74" s="330">
        <v>47379</v>
      </c>
      <c r="K74" s="329"/>
      <c r="L74" s="330"/>
      <c r="M74" s="307"/>
      <c r="N74" s="333"/>
      <c r="O74" s="326">
        <f t="shared" si="3"/>
        <v>47379</v>
      </c>
      <c r="P74" s="296">
        <f t="shared" si="4"/>
        <v>1095</v>
      </c>
    </row>
    <row r="75" spans="1:16" s="127" customFormat="1" x14ac:dyDescent="0.3">
      <c r="A75" s="127">
        <f t="shared" si="5"/>
        <v>69</v>
      </c>
      <c r="B75" s="128" t="s">
        <v>37</v>
      </c>
      <c r="C75" s="129" t="s">
        <v>107</v>
      </c>
      <c r="D75" s="127" t="s">
        <v>188</v>
      </c>
      <c r="E75" s="293" t="s">
        <v>109</v>
      </c>
      <c r="F75" s="326">
        <v>28209</v>
      </c>
      <c r="G75" s="326">
        <v>31371</v>
      </c>
      <c r="H75" s="307">
        <v>45898</v>
      </c>
      <c r="I75" s="326">
        <v>43454</v>
      </c>
      <c r="J75" s="330">
        <v>53203</v>
      </c>
      <c r="K75" s="329"/>
      <c r="L75" s="330"/>
      <c r="M75" s="307"/>
      <c r="N75" s="333"/>
      <c r="O75" s="326">
        <f t="shared" si="3"/>
        <v>53203</v>
      </c>
      <c r="P75" s="296">
        <f t="shared" si="4"/>
        <v>1095</v>
      </c>
    </row>
    <row r="76" spans="1:16" s="127" customFormat="1" x14ac:dyDescent="0.3">
      <c r="A76" s="127">
        <f t="shared" si="5"/>
        <v>70</v>
      </c>
      <c r="B76" s="128" t="s">
        <v>189</v>
      </c>
      <c r="C76" s="129" t="s">
        <v>107</v>
      </c>
      <c r="D76" s="127" t="s">
        <v>190</v>
      </c>
      <c r="E76" s="132" t="s">
        <v>153</v>
      </c>
      <c r="F76" s="326">
        <v>25106</v>
      </c>
      <c r="G76" s="326">
        <v>28095</v>
      </c>
      <c r="H76" s="307">
        <v>42595</v>
      </c>
      <c r="I76" s="326">
        <v>40724</v>
      </c>
      <c r="J76" s="330">
        <v>49900</v>
      </c>
      <c r="K76" s="329"/>
      <c r="L76" s="330"/>
      <c r="M76" s="307"/>
      <c r="N76" s="333"/>
      <c r="O76" s="326">
        <f t="shared" si="3"/>
        <v>49900</v>
      </c>
      <c r="P76" s="296">
        <f t="shared" si="4"/>
        <v>1095</v>
      </c>
    </row>
    <row r="77" spans="1:16" s="127" customFormat="1" x14ac:dyDescent="0.3">
      <c r="A77" s="127">
        <f t="shared" si="5"/>
        <v>71</v>
      </c>
      <c r="B77" s="128" t="s">
        <v>189</v>
      </c>
      <c r="C77" s="129" t="s">
        <v>107</v>
      </c>
      <c r="D77" s="127" t="s">
        <v>191</v>
      </c>
      <c r="E77" s="132" t="s">
        <v>153</v>
      </c>
      <c r="F77" s="326">
        <v>25106</v>
      </c>
      <c r="G77" s="326">
        <v>29726</v>
      </c>
      <c r="H77" s="307">
        <v>43939</v>
      </c>
      <c r="I77" s="326">
        <v>40724</v>
      </c>
      <c r="J77" s="330">
        <v>51244</v>
      </c>
      <c r="K77" s="329"/>
      <c r="L77" s="330"/>
      <c r="M77" s="307"/>
      <c r="N77" s="333"/>
      <c r="O77" s="326">
        <f t="shared" si="3"/>
        <v>51244</v>
      </c>
      <c r="P77" s="296">
        <f t="shared" si="4"/>
        <v>1095</v>
      </c>
    </row>
    <row r="78" spans="1:16" s="127" customFormat="1" x14ac:dyDescent="0.3">
      <c r="A78" s="127">
        <f t="shared" si="5"/>
        <v>72</v>
      </c>
      <c r="B78" s="128" t="s">
        <v>59</v>
      </c>
      <c r="C78" s="129" t="s">
        <v>107</v>
      </c>
      <c r="D78" s="127" t="s">
        <v>192</v>
      </c>
      <c r="E78" s="132" t="s">
        <v>181</v>
      </c>
      <c r="F78" s="326">
        <v>27948</v>
      </c>
      <c r="G78" s="326">
        <v>32947</v>
      </c>
      <c r="H78" s="307">
        <v>47557</v>
      </c>
      <c r="I78" s="326">
        <v>43536</v>
      </c>
      <c r="J78" s="330">
        <v>54862</v>
      </c>
      <c r="K78" s="329"/>
      <c r="L78" s="330"/>
      <c r="M78" s="307"/>
      <c r="N78" s="333"/>
      <c r="O78" s="326">
        <f t="shared" si="3"/>
        <v>54862</v>
      </c>
      <c r="P78" s="296">
        <f t="shared" si="4"/>
        <v>1095</v>
      </c>
    </row>
    <row r="79" spans="1:16" s="127" customFormat="1" x14ac:dyDescent="0.3">
      <c r="A79" s="127">
        <f t="shared" si="5"/>
        <v>73</v>
      </c>
      <c r="B79" s="128" t="s">
        <v>76</v>
      </c>
      <c r="C79" s="129" t="s">
        <v>107</v>
      </c>
      <c r="D79" s="127" t="s">
        <v>193</v>
      </c>
      <c r="E79" s="132" t="s">
        <v>119</v>
      </c>
      <c r="F79" s="326">
        <v>25715</v>
      </c>
      <c r="G79" s="326">
        <v>29481</v>
      </c>
      <c r="H79" s="307">
        <v>44091</v>
      </c>
      <c r="I79" s="326">
        <v>42271</v>
      </c>
      <c r="J79" s="330">
        <v>51396</v>
      </c>
      <c r="K79" s="329"/>
      <c r="L79" s="330"/>
      <c r="M79" s="307"/>
      <c r="N79" s="333"/>
      <c r="O79" s="326">
        <f t="shared" si="3"/>
        <v>51396</v>
      </c>
      <c r="P79" s="296">
        <f t="shared" si="4"/>
        <v>1095</v>
      </c>
    </row>
    <row r="80" spans="1:16" s="127" customFormat="1" x14ac:dyDescent="0.3">
      <c r="A80" s="127">
        <f t="shared" si="5"/>
        <v>74</v>
      </c>
      <c r="B80" s="128" t="s">
        <v>76</v>
      </c>
      <c r="C80" s="129" t="s">
        <v>107</v>
      </c>
      <c r="D80" s="127" t="s">
        <v>194</v>
      </c>
      <c r="E80" s="132" t="s">
        <v>119</v>
      </c>
      <c r="F80" s="326">
        <v>25715</v>
      </c>
      <c r="G80" s="326">
        <v>29844</v>
      </c>
      <c r="H80" s="307">
        <v>44454</v>
      </c>
      <c r="I80" s="326">
        <v>42272</v>
      </c>
      <c r="J80" s="330">
        <v>51759</v>
      </c>
      <c r="K80" s="329"/>
      <c r="L80" s="330"/>
      <c r="M80" s="307"/>
      <c r="N80" s="333"/>
      <c r="O80" s="326">
        <f t="shared" si="3"/>
        <v>51759</v>
      </c>
      <c r="P80" s="296">
        <f t="shared" si="4"/>
        <v>1095</v>
      </c>
    </row>
    <row r="81" spans="1:16" s="127" customFormat="1" x14ac:dyDescent="0.3">
      <c r="A81" s="127">
        <f t="shared" si="5"/>
        <v>75</v>
      </c>
      <c r="B81" s="128" t="s">
        <v>27</v>
      </c>
      <c r="C81" s="129" t="s">
        <v>107</v>
      </c>
      <c r="D81" s="127" t="s">
        <v>195</v>
      </c>
      <c r="E81" s="132" t="s">
        <v>21</v>
      </c>
      <c r="F81" s="326">
        <v>28517</v>
      </c>
      <c r="G81" s="326">
        <v>31709</v>
      </c>
      <c r="H81" s="307">
        <v>46319</v>
      </c>
      <c r="I81" s="326">
        <v>39799</v>
      </c>
      <c r="J81" s="325">
        <v>53624</v>
      </c>
      <c r="K81" s="329"/>
      <c r="L81" s="330"/>
      <c r="M81" s="307"/>
      <c r="N81" s="333"/>
      <c r="O81" s="326">
        <f t="shared" si="3"/>
        <v>53624</v>
      </c>
      <c r="P81" s="296">
        <f t="shared" si="4"/>
        <v>1095</v>
      </c>
    </row>
    <row r="82" spans="1:16" s="127" customFormat="1" x14ac:dyDescent="0.3">
      <c r="A82" s="127">
        <f t="shared" si="5"/>
        <v>76</v>
      </c>
      <c r="B82" s="128" t="s">
        <v>71</v>
      </c>
      <c r="C82" s="135" t="s">
        <v>107</v>
      </c>
      <c r="D82" s="156" t="s">
        <v>196</v>
      </c>
      <c r="E82" s="321" t="s">
        <v>70</v>
      </c>
      <c r="F82" s="326">
        <v>27750</v>
      </c>
      <c r="G82" s="326">
        <v>32224</v>
      </c>
      <c r="H82" s="307">
        <v>46619</v>
      </c>
      <c r="I82" s="326">
        <v>43006</v>
      </c>
      <c r="J82" s="330">
        <v>53924</v>
      </c>
      <c r="K82" s="329"/>
      <c r="L82" s="330"/>
      <c r="M82" s="307"/>
      <c r="N82" s="333"/>
      <c r="O82" s="326">
        <f t="shared" si="3"/>
        <v>53924</v>
      </c>
      <c r="P82" s="296">
        <f t="shared" si="4"/>
        <v>1095</v>
      </c>
    </row>
    <row r="83" spans="1:16" s="127" customFormat="1" x14ac:dyDescent="0.3">
      <c r="A83" s="127">
        <f t="shared" si="5"/>
        <v>77</v>
      </c>
      <c r="B83" s="128" t="s">
        <v>71</v>
      </c>
      <c r="C83" s="135" t="s">
        <v>107</v>
      </c>
      <c r="D83" s="156" t="s">
        <v>197</v>
      </c>
      <c r="E83" s="321" t="s">
        <v>70</v>
      </c>
      <c r="F83" s="326">
        <v>27750</v>
      </c>
      <c r="G83" s="326">
        <v>32595</v>
      </c>
      <c r="H83" s="307">
        <v>47102</v>
      </c>
      <c r="I83" s="326">
        <v>43006</v>
      </c>
      <c r="J83" s="330">
        <v>54407</v>
      </c>
      <c r="K83" s="329"/>
      <c r="L83" s="330"/>
      <c r="M83" s="307"/>
      <c r="N83" s="333"/>
      <c r="O83" s="326">
        <f t="shared" si="3"/>
        <v>54407</v>
      </c>
      <c r="P83" s="296">
        <f t="shared" si="4"/>
        <v>1095</v>
      </c>
    </row>
    <row r="84" spans="1:16" s="127" customFormat="1" x14ac:dyDescent="0.3">
      <c r="A84" s="127">
        <f t="shared" si="5"/>
        <v>78</v>
      </c>
      <c r="B84" s="128" t="s">
        <v>60</v>
      </c>
      <c r="C84" s="129" t="s">
        <v>107</v>
      </c>
      <c r="D84" s="127" t="s">
        <v>198</v>
      </c>
      <c r="E84" s="132" t="s">
        <v>181</v>
      </c>
      <c r="F84" s="326">
        <v>25750</v>
      </c>
      <c r="G84" s="326">
        <v>27820</v>
      </c>
      <c r="H84" s="307">
        <v>42430</v>
      </c>
      <c r="I84" s="326">
        <v>37896</v>
      </c>
      <c r="J84" s="330">
        <v>49735</v>
      </c>
      <c r="K84" s="329"/>
      <c r="L84" s="330"/>
      <c r="M84" s="307"/>
      <c r="N84" s="333"/>
      <c r="O84" s="326">
        <f t="shared" si="3"/>
        <v>49735</v>
      </c>
      <c r="P84" s="296">
        <f t="shared" si="4"/>
        <v>1095</v>
      </c>
    </row>
    <row r="85" spans="1:16" s="127" customFormat="1" x14ac:dyDescent="0.3">
      <c r="A85" s="127">
        <f t="shared" si="5"/>
        <v>79</v>
      </c>
      <c r="B85" s="128" t="s">
        <v>60</v>
      </c>
      <c r="C85" s="129" t="s">
        <v>107</v>
      </c>
      <c r="D85" s="127" t="s">
        <v>199</v>
      </c>
      <c r="E85" s="132" t="s">
        <v>181</v>
      </c>
      <c r="F85" s="326">
        <v>28247</v>
      </c>
      <c r="G85" s="326">
        <v>30477</v>
      </c>
      <c r="H85" s="307">
        <v>45022</v>
      </c>
      <c r="I85" s="326">
        <v>37896</v>
      </c>
      <c r="J85" s="330">
        <v>52327</v>
      </c>
      <c r="K85" s="329"/>
      <c r="L85" s="330"/>
      <c r="M85" s="307"/>
      <c r="N85" s="333"/>
      <c r="O85" s="326">
        <f t="shared" si="3"/>
        <v>52327</v>
      </c>
      <c r="P85" s="296">
        <f t="shared" si="4"/>
        <v>1095</v>
      </c>
    </row>
    <row r="86" spans="1:16" s="127" customFormat="1" x14ac:dyDescent="0.3">
      <c r="A86" s="127">
        <f t="shared" si="5"/>
        <v>80</v>
      </c>
      <c r="B86" s="128" t="s">
        <v>17</v>
      </c>
      <c r="C86" s="129" t="s">
        <v>107</v>
      </c>
      <c r="D86" s="127" t="s">
        <v>200</v>
      </c>
      <c r="E86" s="132" t="s">
        <v>12</v>
      </c>
      <c r="F86" s="326">
        <v>25014</v>
      </c>
      <c r="G86" s="326">
        <v>26444</v>
      </c>
      <c r="H86" s="307">
        <v>41054</v>
      </c>
      <c r="I86" s="326">
        <v>37700</v>
      </c>
      <c r="J86" s="330">
        <v>48359</v>
      </c>
      <c r="K86" s="337">
        <v>44320</v>
      </c>
      <c r="L86" s="336">
        <v>55664</v>
      </c>
      <c r="M86" s="308"/>
      <c r="N86" s="333"/>
      <c r="O86" s="326">
        <f t="shared" si="3"/>
        <v>55664</v>
      </c>
      <c r="P86" s="296">
        <f t="shared" si="4"/>
        <v>1095</v>
      </c>
    </row>
    <row r="87" spans="1:16" s="127" customFormat="1" x14ac:dyDescent="0.3">
      <c r="A87" s="127">
        <f t="shared" si="5"/>
        <v>81</v>
      </c>
      <c r="B87" s="128" t="s">
        <v>17</v>
      </c>
      <c r="C87" s="129" t="s">
        <v>107</v>
      </c>
      <c r="D87" s="127" t="s">
        <v>201</v>
      </c>
      <c r="E87" s="132" t="s">
        <v>12</v>
      </c>
      <c r="F87" s="326">
        <v>25014</v>
      </c>
      <c r="G87" s="326">
        <v>26693</v>
      </c>
      <c r="H87" s="307">
        <v>41303</v>
      </c>
      <c r="I87" s="326">
        <v>37700</v>
      </c>
      <c r="J87" s="330">
        <v>48608</v>
      </c>
      <c r="K87" s="337">
        <v>44320</v>
      </c>
      <c r="L87" s="336">
        <v>55913</v>
      </c>
      <c r="M87" s="307"/>
      <c r="N87" s="333"/>
      <c r="O87" s="326">
        <f t="shared" si="3"/>
        <v>55913</v>
      </c>
      <c r="P87" s="296">
        <f t="shared" si="4"/>
        <v>1095</v>
      </c>
    </row>
    <row r="88" spans="1:16" s="127" customFormat="1" x14ac:dyDescent="0.3">
      <c r="A88" s="127">
        <f t="shared" si="5"/>
        <v>82</v>
      </c>
      <c r="B88" s="128" t="s">
        <v>73</v>
      </c>
      <c r="C88" s="129" t="s">
        <v>107</v>
      </c>
      <c r="D88" s="127" t="s">
        <v>202</v>
      </c>
      <c r="E88" s="132" t="s">
        <v>203</v>
      </c>
      <c r="F88" s="326">
        <v>26970</v>
      </c>
      <c r="G88" s="326">
        <v>30149</v>
      </c>
      <c r="H88" s="307">
        <v>44759</v>
      </c>
      <c r="I88" s="326">
        <v>40141</v>
      </c>
      <c r="J88" s="330">
        <v>52064</v>
      </c>
      <c r="K88" s="329"/>
      <c r="L88" s="330"/>
      <c r="M88" s="307"/>
      <c r="N88" s="333"/>
      <c r="O88" s="326">
        <f t="shared" si="3"/>
        <v>52064</v>
      </c>
      <c r="P88" s="296">
        <f t="shared" si="4"/>
        <v>1095</v>
      </c>
    </row>
    <row r="89" spans="1:16" s="127" customFormat="1" x14ac:dyDescent="0.3">
      <c r="A89" s="127">
        <f t="shared" si="5"/>
        <v>83</v>
      </c>
      <c r="B89" s="128" t="s">
        <v>73</v>
      </c>
      <c r="C89" s="129" t="s">
        <v>107</v>
      </c>
      <c r="D89" s="127" t="s">
        <v>204</v>
      </c>
      <c r="E89" s="132" t="s">
        <v>203</v>
      </c>
      <c r="F89" s="326">
        <v>26970</v>
      </c>
      <c r="G89" s="326">
        <v>30764</v>
      </c>
      <c r="H89" s="307">
        <v>45374</v>
      </c>
      <c r="I89" s="326">
        <v>40141</v>
      </c>
      <c r="J89" s="330">
        <v>52679</v>
      </c>
      <c r="K89" s="329"/>
      <c r="L89" s="330"/>
      <c r="M89" s="308"/>
      <c r="N89" s="333"/>
      <c r="O89" s="326">
        <f t="shared" si="3"/>
        <v>52679</v>
      </c>
      <c r="P89" s="296">
        <f t="shared" si="4"/>
        <v>1095</v>
      </c>
    </row>
    <row r="90" spans="1:16" s="127" customFormat="1" x14ac:dyDescent="0.3">
      <c r="A90" s="127">
        <f t="shared" si="5"/>
        <v>84</v>
      </c>
      <c r="B90" s="134" t="s">
        <v>205</v>
      </c>
      <c r="C90" s="129" t="s">
        <v>107</v>
      </c>
      <c r="D90" s="127" t="s">
        <v>206</v>
      </c>
      <c r="E90" s="132" t="s">
        <v>181</v>
      </c>
      <c r="F90" s="326">
        <v>24589</v>
      </c>
      <c r="G90" s="326">
        <v>26499</v>
      </c>
      <c r="H90" s="307">
        <v>41109</v>
      </c>
      <c r="I90" s="326">
        <v>37413</v>
      </c>
      <c r="J90" s="330">
        <v>48414</v>
      </c>
      <c r="K90" s="325">
        <v>43803</v>
      </c>
      <c r="L90" s="307">
        <v>55719</v>
      </c>
      <c r="M90" s="308"/>
      <c r="N90" s="333"/>
      <c r="O90" s="326">
        <f t="shared" si="3"/>
        <v>55719</v>
      </c>
      <c r="P90" s="296">
        <f t="shared" si="4"/>
        <v>1095</v>
      </c>
    </row>
    <row r="91" spans="1:16" s="127" customFormat="1" x14ac:dyDescent="0.3">
      <c r="A91" s="127">
        <f t="shared" si="5"/>
        <v>85</v>
      </c>
      <c r="B91" s="128" t="s">
        <v>205</v>
      </c>
      <c r="C91" s="129" t="s">
        <v>107</v>
      </c>
      <c r="D91" s="127" t="s">
        <v>207</v>
      </c>
      <c r="E91" s="132" t="s">
        <v>181</v>
      </c>
      <c r="F91" s="326">
        <v>24589</v>
      </c>
      <c r="G91" s="326">
        <v>26764</v>
      </c>
      <c r="H91" s="307">
        <v>41374</v>
      </c>
      <c r="I91" s="326">
        <v>37413</v>
      </c>
      <c r="J91" s="330">
        <v>48679</v>
      </c>
      <c r="K91" s="329">
        <v>43803</v>
      </c>
      <c r="L91" s="307">
        <v>55984</v>
      </c>
      <c r="M91" s="307"/>
      <c r="N91" s="333"/>
      <c r="O91" s="326">
        <f t="shared" si="3"/>
        <v>55984</v>
      </c>
      <c r="P91" s="296">
        <f t="shared" si="4"/>
        <v>1095</v>
      </c>
    </row>
    <row r="92" spans="1:16" s="127" customFormat="1" x14ac:dyDescent="0.3">
      <c r="A92" s="127">
        <f t="shared" si="5"/>
        <v>86</v>
      </c>
      <c r="B92" s="128" t="s">
        <v>208</v>
      </c>
      <c r="C92" s="129" t="s">
        <v>107</v>
      </c>
      <c r="D92" s="127" t="s">
        <v>209</v>
      </c>
      <c r="E92" s="132" t="s">
        <v>12</v>
      </c>
      <c r="F92" s="326">
        <v>26744</v>
      </c>
      <c r="G92" s="326">
        <v>30267</v>
      </c>
      <c r="H92" s="307">
        <v>44779</v>
      </c>
      <c r="I92" s="326">
        <v>38100</v>
      </c>
      <c r="J92" s="330">
        <v>52084</v>
      </c>
      <c r="K92" s="329"/>
      <c r="L92" s="330"/>
      <c r="M92" s="307"/>
      <c r="N92" s="333"/>
      <c r="O92" s="326">
        <f t="shared" si="3"/>
        <v>52084</v>
      </c>
      <c r="P92" s="296">
        <f t="shared" si="4"/>
        <v>1095</v>
      </c>
    </row>
    <row r="93" spans="1:16" s="127" customFormat="1" x14ac:dyDescent="0.3">
      <c r="A93" s="127">
        <f t="shared" si="5"/>
        <v>87</v>
      </c>
      <c r="B93" s="128" t="s">
        <v>210</v>
      </c>
      <c r="C93" s="129" t="s">
        <v>107</v>
      </c>
      <c r="D93" s="127" t="s">
        <v>211</v>
      </c>
      <c r="E93" s="132" t="s">
        <v>66</v>
      </c>
      <c r="F93" s="326">
        <v>27208</v>
      </c>
      <c r="G93" s="326">
        <v>31852</v>
      </c>
      <c r="H93" s="307">
        <v>46403</v>
      </c>
      <c r="I93" s="326">
        <v>39967</v>
      </c>
      <c r="J93" s="330">
        <v>53708</v>
      </c>
      <c r="K93" s="329"/>
      <c r="L93" s="330"/>
      <c r="M93" s="307"/>
      <c r="N93" s="333"/>
      <c r="O93" s="326">
        <f t="shared" si="3"/>
        <v>53708</v>
      </c>
      <c r="P93" s="296">
        <f t="shared" si="4"/>
        <v>1095</v>
      </c>
    </row>
    <row r="94" spans="1:16" s="127" customFormat="1" x14ac:dyDescent="0.3">
      <c r="A94" s="127">
        <f t="shared" si="5"/>
        <v>88</v>
      </c>
      <c r="B94" s="128" t="s">
        <v>210</v>
      </c>
      <c r="C94" s="129" t="s">
        <v>107</v>
      </c>
      <c r="D94" s="127" t="s">
        <v>212</v>
      </c>
      <c r="E94" s="132" t="s">
        <v>66</v>
      </c>
      <c r="F94" s="326">
        <v>27208</v>
      </c>
      <c r="G94" s="326">
        <v>32598</v>
      </c>
      <c r="H94" s="307">
        <v>47158</v>
      </c>
      <c r="I94" s="326">
        <v>39967</v>
      </c>
      <c r="J94" s="330">
        <v>54463</v>
      </c>
      <c r="K94" s="329"/>
      <c r="L94" s="330"/>
      <c r="M94" s="307"/>
      <c r="N94" s="333"/>
      <c r="O94" s="326">
        <f t="shared" si="3"/>
        <v>54463</v>
      </c>
      <c r="P94" s="296">
        <f t="shared" si="4"/>
        <v>1095</v>
      </c>
    </row>
    <row r="95" spans="1:16" s="127" customFormat="1" x14ac:dyDescent="0.3">
      <c r="A95" s="127">
        <f t="shared" si="5"/>
        <v>89</v>
      </c>
      <c r="B95" s="128" t="s">
        <v>210</v>
      </c>
      <c r="C95" s="129" t="s">
        <v>107</v>
      </c>
      <c r="D95" s="127" t="s">
        <v>213</v>
      </c>
      <c r="E95" s="132" t="s">
        <v>66</v>
      </c>
      <c r="F95" s="326">
        <v>40949</v>
      </c>
      <c r="G95" s="335">
        <v>44776</v>
      </c>
      <c r="H95" s="309">
        <v>59386</v>
      </c>
      <c r="I95" s="326"/>
      <c r="J95" s="330"/>
      <c r="K95" s="329"/>
      <c r="L95" s="330"/>
      <c r="M95" s="307"/>
      <c r="N95" s="308"/>
      <c r="O95" s="326">
        <f t="shared" si="3"/>
        <v>59386</v>
      </c>
      <c r="P95" s="296">
        <f t="shared" si="4"/>
        <v>1095</v>
      </c>
    </row>
    <row r="96" spans="1:16" s="127" customFormat="1" x14ac:dyDescent="0.3">
      <c r="A96" s="127">
        <f t="shared" si="5"/>
        <v>90</v>
      </c>
      <c r="B96" s="128" t="s">
        <v>210</v>
      </c>
      <c r="C96" s="129" t="s">
        <v>107</v>
      </c>
      <c r="D96" s="127" t="s">
        <v>214</v>
      </c>
      <c r="E96" s="132" t="s">
        <v>66</v>
      </c>
      <c r="F96" s="326">
        <v>40949</v>
      </c>
      <c r="G96" s="335">
        <v>45135</v>
      </c>
      <c r="H96" s="309">
        <v>59745</v>
      </c>
      <c r="I96" s="326"/>
      <c r="J96" s="330"/>
      <c r="K96" s="329"/>
      <c r="L96" s="330"/>
      <c r="M96" s="307"/>
      <c r="N96" s="308"/>
      <c r="O96" s="326">
        <f t="shared" si="3"/>
        <v>59745</v>
      </c>
      <c r="P96" s="296">
        <f t="shared" si="4"/>
        <v>1095</v>
      </c>
    </row>
    <row r="97" spans="1:16" s="127" customFormat="1" x14ac:dyDescent="0.3">
      <c r="A97" s="127">
        <f t="shared" si="5"/>
        <v>91</v>
      </c>
      <c r="B97" s="128" t="s">
        <v>38</v>
      </c>
      <c r="C97" s="129" t="s">
        <v>107</v>
      </c>
      <c r="D97" s="131" t="s">
        <v>215</v>
      </c>
      <c r="E97" s="293" t="s">
        <v>109</v>
      </c>
      <c r="F97" s="326">
        <v>27347</v>
      </c>
      <c r="G97" s="326">
        <v>31122</v>
      </c>
      <c r="H97" s="307">
        <v>45644</v>
      </c>
      <c r="I97" s="326">
        <v>43461</v>
      </c>
      <c r="J97" s="330">
        <v>52949</v>
      </c>
      <c r="K97" s="329"/>
      <c r="L97" s="330"/>
      <c r="M97" s="307"/>
      <c r="N97" s="333"/>
      <c r="O97" s="326">
        <f t="shared" si="3"/>
        <v>52949</v>
      </c>
      <c r="P97" s="296">
        <f t="shared" si="4"/>
        <v>1095</v>
      </c>
    </row>
    <row r="98" spans="1:16" s="127" customFormat="1" x14ac:dyDescent="0.3">
      <c r="A98" s="127">
        <f t="shared" si="5"/>
        <v>92</v>
      </c>
      <c r="B98" s="128" t="s">
        <v>216</v>
      </c>
      <c r="C98" s="129" t="s">
        <v>107</v>
      </c>
      <c r="D98" s="127" t="s">
        <v>217</v>
      </c>
      <c r="E98" s="132" t="s">
        <v>119</v>
      </c>
      <c r="F98" s="326">
        <v>26687</v>
      </c>
      <c r="G98" s="326">
        <v>35102</v>
      </c>
      <c r="H98" s="307">
        <v>49622</v>
      </c>
      <c r="I98" s="326"/>
      <c r="J98" s="330"/>
      <c r="K98" s="329"/>
      <c r="L98" s="330"/>
      <c r="M98" s="307"/>
      <c r="N98" s="333"/>
      <c r="O98" s="326">
        <f t="shared" si="3"/>
        <v>49622</v>
      </c>
      <c r="P98" s="296">
        <f t="shared" si="4"/>
        <v>1095</v>
      </c>
    </row>
    <row r="99" spans="1:16" s="127" customFormat="1" x14ac:dyDescent="0.3">
      <c r="A99" s="127">
        <f t="shared" si="5"/>
        <v>93</v>
      </c>
      <c r="B99" s="128" t="s">
        <v>216</v>
      </c>
      <c r="C99" s="129" t="s">
        <v>107</v>
      </c>
      <c r="D99" s="127" t="s">
        <v>218</v>
      </c>
      <c r="E99" s="132" t="s">
        <v>119</v>
      </c>
      <c r="F99" s="326">
        <v>26687</v>
      </c>
      <c r="G99" s="326">
        <v>42299</v>
      </c>
      <c r="H99" s="309">
        <v>56909</v>
      </c>
      <c r="I99" s="326"/>
      <c r="J99" s="330"/>
      <c r="K99" s="329"/>
      <c r="L99" s="330"/>
      <c r="M99" s="307"/>
      <c r="N99" s="308"/>
      <c r="O99" s="326">
        <f t="shared" si="3"/>
        <v>56909</v>
      </c>
      <c r="P99" s="296">
        <f t="shared" si="4"/>
        <v>1095</v>
      </c>
    </row>
    <row r="100" spans="1:16" s="127" customFormat="1" ht="13" thickBot="1" x14ac:dyDescent="0.35">
      <c r="A100" s="136">
        <f t="shared" si="5"/>
        <v>94</v>
      </c>
      <c r="B100" s="137" t="s">
        <v>79</v>
      </c>
      <c r="C100" s="138" t="s">
        <v>107</v>
      </c>
      <c r="D100" s="139" t="s">
        <v>219</v>
      </c>
      <c r="E100" s="294" t="s">
        <v>78</v>
      </c>
      <c r="F100" s="326">
        <v>28276</v>
      </c>
      <c r="G100" s="326">
        <v>31202</v>
      </c>
      <c r="H100" s="307">
        <v>45727</v>
      </c>
      <c r="I100" s="326">
        <v>39772</v>
      </c>
      <c r="J100" s="330">
        <v>53032</v>
      </c>
      <c r="K100" s="329"/>
      <c r="L100" s="330"/>
      <c r="M100" s="307"/>
      <c r="N100" s="333"/>
      <c r="O100" s="326">
        <f t="shared" si="3"/>
        <v>53032</v>
      </c>
      <c r="P100" s="296">
        <f t="shared" si="4"/>
        <v>1095</v>
      </c>
    </row>
    <row r="101" spans="1:16" ht="7.25" customHeight="1" thickBot="1" x14ac:dyDescent="0.3">
      <c r="B101" s="140"/>
      <c r="C101" s="140"/>
      <c r="D101" s="141"/>
      <c r="E101" s="142"/>
      <c r="F101" s="141"/>
      <c r="G101" s="141"/>
      <c r="H101" s="142"/>
      <c r="I101" s="141"/>
      <c r="J101" s="141"/>
      <c r="K101" s="141"/>
      <c r="L101" s="141"/>
      <c r="M101" s="142"/>
      <c r="N101" s="143"/>
      <c r="O101" s="141"/>
      <c r="P101" s="141"/>
    </row>
    <row r="102" spans="1:16" ht="9.65" customHeight="1" thickBot="1" x14ac:dyDescent="0.35">
      <c r="A102" s="144"/>
      <c r="B102" s="144"/>
      <c r="C102" s="145"/>
      <c r="D102" s="145"/>
      <c r="E102" s="146"/>
      <c r="F102" s="145"/>
      <c r="G102" s="145"/>
      <c r="H102" s="145"/>
      <c r="I102" s="145"/>
      <c r="J102" s="144"/>
      <c r="K102" s="144"/>
      <c r="L102" s="144"/>
      <c r="M102" s="147"/>
      <c r="N102" s="147"/>
      <c r="O102" s="147"/>
    </row>
    <row r="103" spans="1:16" ht="18.649999999999999" customHeight="1" thickBot="1" x14ac:dyDescent="0.35">
      <c r="A103" s="148"/>
      <c r="B103" s="148"/>
      <c r="C103" s="149" t="s">
        <v>220</v>
      </c>
      <c r="D103" s="150"/>
      <c r="E103" s="151"/>
      <c r="F103" s="150"/>
      <c r="G103" s="150"/>
      <c r="H103" s="150"/>
      <c r="I103" s="150"/>
      <c r="J103" s="152"/>
      <c r="K103" s="152"/>
      <c r="L103" s="152"/>
      <c r="M103" s="152"/>
      <c r="N103" s="153"/>
      <c r="O103" s="153"/>
    </row>
    <row r="104" spans="1:16" ht="14" x14ac:dyDescent="0.3">
      <c r="A104" s="114">
        <v>1</v>
      </c>
      <c r="B104" s="154" t="s">
        <v>221</v>
      </c>
      <c r="C104" s="129" t="s">
        <v>107</v>
      </c>
      <c r="D104" s="127" t="s">
        <v>222</v>
      </c>
      <c r="E104" s="321" t="s">
        <v>223</v>
      </c>
      <c r="F104" s="326">
        <v>25106</v>
      </c>
      <c r="G104" s="326">
        <v>28097</v>
      </c>
      <c r="H104" s="307">
        <v>42707</v>
      </c>
      <c r="I104" s="326"/>
      <c r="J104" s="330"/>
      <c r="K104" s="329"/>
      <c r="L104" s="330"/>
      <c r="M104" s="307">
        <v>41325</v>
      </c>
      <c r="N104"/>
      <c r="O104"/>
    </row>
    <row r="105" spans="1:16" ht="14" x14ac:dyDescent="0.3">
      <c r="A105" s="114">
        <v>2</v>
      </c>
      <c r="B105" s="154" t="s">
        <v>224</v>
      </c>
      <c r="C105" s="129" t="s">
        <v>107</v>
      </c>
      <c r="D105" s="127" t="s">
        <v>224</v>
      </c>
      <c r="E105" s="321" t="s">
        <v>225</v>
      </c>
      <c r="F105" s="326">
        <v>25056</v>
      </c>
      <c r="G105" s="326">
        <v>27019</v>
      </c>
      <c r="H105" s="307">
        <v>41629</v>
      </c>
      <c r="I105" s="326"/>
      <c r="J105" s="330"/>
      <c r="K105" s="329"/>
      <c r="L105" s="330"/>
      <c r="M105" s="307">
        <v>41401</v>
      </c>
      <c r="N105"/>
      <c r="O105"/>
    </row>
    <row r="106" spans="1:16" ht="14" x14ac:dyDescent="0.3">
      <c r="A106" s="114">
        <v>3</v>
      </c>
      <c r="B106" s="154" t="s">
        <v>226</v>
      </c>
      <c r="C106" s="129" t="s">
        <v>107</v>
      </c>
      <c r="D106" s="127" t="s">
        <v>227</v>
      </c>
      <c r="E106" s="133" t="s">
        <v>228</v>
      </c>
      <c r="F106" s="326">
        <v>26955</v>
      </c>
      <c r="G106" s="326">
        <v>29998</v>
      </c>
      <c r="H106" s="307">
        <v>44608</v>
      </c>
      <c r="I106" s="326"/>
      <c r="J106" s="330"/>
      <c r="K106" s="329"/>
      <c r="L106" s="330"/>
      <c r="M106" s="307">
        <v>41437</v>
      </c>
      <c r="N106"/>
      <c r="O106"/>
    </row>
    <row r="107" spans="1:16" ht="14" x14ac:dyDescent="0.3">
      <c r="A107" s="114">
        <v>4</v>
      </c>
      <c r="B107" s="154" t="s">
        <v>226</v>
      </c>
      <c r="C107" s="129" t="s">
        <v>107</v>
      </c>
      <c r="D107" s="127" t="s">
        <v>229</v>
      </c>
      <c r="E107" s="133" t="s">
        <v>228</v>
      </c>
      <c r="F107" s="326">
        <v>26955</v>
      </c>
      <c r="G107" s="326">
        <v>30270</v>
      </c>
      <c r="H107" s="307">
        <v>44880</v>
      </c>
      <c r="I107" s="326"/>
      <c r="J107" s="330"/>
      <c r="K107" s="329"/>
      <c r="L107" s="330"/>
      <c r="M107" s="307">
        <v>41437</v>
      </c>
      <c r="N107"/>
      <c r="O107"/>
    </row>
    <row r="108" spans="1:16" ht="14" x14ac:dyDescent="0.3">
      <c r="A108" s="114">
        <v>5</v>
      </c>
      <c r="B108" s="154" t="s">
        <v>230</v>
      </c>
      <c r="C108" s="129" t="s">
        <v>107</v>
      </c>
      <c r="D108" s="131" t="s">
        <v>230</v>
      </c>
      <c r="E108" s="132" t="s">
        <v>231</v>
      </c>
      <c r="F108" s="326">
        <v>24817</v>
      </c>
      <c r="G108" s="326">
        <v>26379</v>
      </c>
      <c r="H108" s="307">
        <v>40989</v>
      </c>
      <c r="I108" s="326">
        <v>40623</v>
      </c>
      <c r="J108" s="330">
        <v>48294</v>
      </c>
      <c r="K108" s="329"/>
      <c r="L108" s="330"/>
      <c r="M108" s="307">
        <v>42002</v>
      </c>
      <c r="N108"/>
      <c r="O108"/>
    </row>
    <row r="109" spans="1:16" ht="14" x14ac:dyDescent="0.3">
      <c r="A109" s="114">
        <v>6</v>
      </c>
      <c r="B109" s="154" t="s">
        <v>232</v>
      </c>
      <c r="C109" s="129" t="s">
        <v>107</v>
      </c>
      <c r="D109" s="131" t="s">
        <v>232</v>
      </c>
      <c r="E109" s="132" t="s">
        <v>233</v>
      </c>
      <c r="F109" s="326">
        <v>24996</v>
      </c>
      <c r="G109" s="326">
        <v>26885</v>
      </c>
      <c r="H109" s="307">
        <v>41495</v>
      </c>
      <c r="I109" s="328">
        <v>37929</v>
      </c>
      <c r="J109" s="330">
        <v>48800</v>
      </c>
      <c r="K109" s="329"/>
      <c r="L109" s="330"/>
      <c r="M109" s="307">
        <v>42667</v>
      </c>
      <c r="N109"/>
      <c r="O109"/>
    </row>
    <row r="110" spans="1:16" ht="14" x14ac:dyDescent="0.3">
      <c r="A110" s="319">
        <v>7</v>
      </c>
      <c r="B110" s="344" t="s">
        <v>234</v>
      </c>
      <c r="C110" s="129" t="s">
        <v>107</v>
      </c>
      <c r="D110" s="131" t="s">
        <v>234</v>
      </c>
      <c r="E110" s="132" t="s">
        <v>235</v>
      </c>
      <c r="F110" s="328">
        <v>23726</v>
      </c>
      <c r="G110" s="326">
        <v>33421</v>
      </c>
      <c r="H110" s="307">
        <v>39912</v>
      </c>
      <c r="I110" s="326">
        <v>39911</v>
      </c>
      <c r="J110" s="330">
        <v>47217</v>
      </c>
      <c r="K110" s="329"/>
      <c r="L110" s="325"/>
      <c r="M110" s="308">
        <v>43360</v>
      </c>
      <c r="N110" s="320"/>
      <c r="O110"/>
    </row>
    <row r="111" spans="1:16" ht="14" x14ac:dyDescent="0.3">
      <c r="A111" s="114">
        <v>8</v>
      </c>
      <c r="B111" s="154" t="s">
        <v>236</v>
      </c>
      <c r="C111" s="129" t="s">
        <v>107</v>
      </c>
      <c r="D111" s="127" t="s">
        <v>237</v>
      </c>
      <c r="E111" s="132" t="s">
        <v>235</v>
      </c>
      <c r="F111" s="326">
        <v>25076</v>
      </c>
      <c r="G111" s="326">
        <v>26458</v>
      </c>
      <c r="H111" s="307">
        <v>41068</v>
      </c>
      <c r="I111" s="326">
        <v>41058</v>
      </c>
      <c r="J111" s="330">
        <v>48373</v>
      </c>
      <c r="K111" s="329"/>
      <c r="L111" s="330"/>
      <c r="M111" s="308">
        <v>43616</v>
      </c>
      <c r="N111"/>
      <c r="O111"/>
    </row>
    <row r="112" spans="1:16" ht="14" x14ac:dyDescent="0.3">
      <c r="A112" s="114">
        <v>9</v>
      </c>
      <c r="B112" s="345" t="s">
        <v>238</v>
      </c>
      <c r="C112" s="129" t="s">
        <v>107</v>
      </c>
      <c r="D112" s="127" t="s">
        <v>239</v>
      </c>
      <c r="E112" s="349" t="s">
        <v>240</v>
      </c>
      <c r="F112" s="326">
        <v>24976</v>
      </c>
      <c r="G112" s="326">
        <v>27138</v>
      </c>
      <c r="H112" s="307">
        <v>41748</v>
      </c>
      <c r="I112" s="326">
        <v>40108</v>
      </c>
      <c r="J112" s="330">
        <v>49053</v>
      </c>
      <c r="K112" s="329"/>
      <c r="L112" s="330"/>
      <c r="M112" s="307">
        <v>43734</v>
      </c>
      <c r="N112"/>
      <c r="O112"/>
    </row>
    <row r="113" spans="1:17" ht="14" x14ac:dyDescent="0.3">
      <c r="A113" s="114">
        <v>10</v>
      </c>
      <c r="B113" s="154" t="s">
        <v>241</v>
      </c>
      <c r="C113" s="129" t="s">
        <v>107</v>
      </c>
      <c r="D113" s="127" t="s">
        <v>242</v>
      </c>
      <c r="E113" s="295" t="s">
        <v>235</v>
      </c>
      <c r="F113" s="326">
        <v>24394</v>
      </c>
      <c r="G113" s="326">
        <v>26935</v>
      </c>
      <c r="H113" s="307">
        <v>41545</v>
      </c>
      <c r="I113" s="326">
        <v>43360</v>
      </c>
      <c r="J113" s="330">
        <v>45412</v>
      </c>
      <c r="K113" s="329"/>
      <c r="L113" s="330"/>
      <c r="M113" s="307">
        <v>43951</v>
      </c>
      <c r="N113"/>
      <c r="O113"/>
    </row>
    <row r="114" spans="1:17" ht="14" x14ac:dyDescent="0.3">
      <c r="A114" s="319">
        <v>11</v>
      </c>
      <c r="B114" s="154" t="s">
        <v>241</v>
      </c>
      <c r="C114" s="129" t="s">
        <v>107</v>
      </c>
      <c r="D114" s="131" t="s">
        <v>243</v>
      </c>
      <c r="E114" s="295" t="s">
        <v>235</v>
      </c>
      <c r="F114" s="326">
        <v>25428</v>
      </c>
      <c r="G114" s="326">
        <v>27740</v>
      </c>
      <c r="H114" s="307">
        <v>42353</v>
      </c>
      <c r="I114" s="326">
        <v>43360</v>
      </c>
      <c r="J114" s="330">
        <v>45777</v>
      </c>
      <c r="K114" s="329"/>
      <c r="L114" s="330"/>
      <c r="M114" s="307">
        <v>44316</v>
      </c>
      <c r="N114"/>
      <c r="O114"/>
    </row>
    <row r="115" spans="1:17" ht="14" x14ac:dyDescent="0.3">
      <c r="A115" s="114">
        <v>12</v>
      </c>
      <c r="B115" s="154" t="s">
        <v>244</v>
      </c>
      <c r="C115" s="129" t="s">
        <v>107</v>
      </c>
      <c r="D115" s="131" t="s">
        <v>244</v>
      </c>
      <c r="E115" s="132" t="s">
        <v>181</v>
      </c>
      <c r="F115" s="326">
        <v>25741</v>
      </c>
      <c r="G115" s="326">
        <v>27082</v>
      </c>
      <c r="H115" s="307">
        <v>41691</v>
      </c>
      <c r="I115" s="328">
        <v>40528</v>
      </c>
      <c r="J115" s="330">
        <v>48996</v>
      </c>
      <c r="K115" s="329"/>
      <c r="L115" s="330"/>
      <c r="M115" s="308">
        <v>44053</v>
      </c>
      <c r="N115"/>
      <c r="O115"/>
    </row>
    <row r="116" spans="1:17" s="127" customFormat="1" ht="14.5" thickBot="1" x14ac:dyDescent="0.35">
      <c r="A116" s="155">
        <v>13</v>
      </c>
      <c r="B116" s="352" t="s">
        <v>245</v>
      </c>
      <c r="C116" s="353" t="s">
        <v>107</v>
      </c>
      <c r="D116" s="354" t="s">
        <v>245</v>
      </c>
      <c r="E116" s="348" t="s">
        <v>235</v>
      </c>
      <c r="F116" s="338">
        <v>24545</v>
      </c>
      <c r="G116" s="339">
        <v>26016</v>
      </c>
      <c r="H116" s="340">
        <v>40626</v>
      </c>
      <c r="I116" s="339">
        <v>39099</v>
      </c>
      <c r="J116" s="341">
        <v>47931</v>
      </c>
      <c r="K116" s="342"/>
      <c r="L116" s="341"/>
      <c r="M116" s="351">
        <v>44701</v>
      </c>
      <c r="N116"/>
      <c r="O116"/>
      <c r="P116"/>
      <c r="Q116"/>
    </row>
    <row r="117" spans="1:17" ht="14.5" thickTop="1" x14ac:dyDescent="0.3">
      <c r="C117" s="157">
        <f>COUNTIF(C104:C116,"reactor")</f>
        <v>13</v>
      </c>
      <c r="N117"/>
      <c r="O117"/>
    </row>
    <row r="118" spans="1:17" ht="13" x14ac:dyDescent="0.25">
      <c r="C118" s="8"/>
      <c r="D118" s="347" t="s">
        <v>246</v>
      </c>
      <c r="E118" s="158"/>
    </row>
    <row r="119" spans="1:17" ht="32" customHeight="1" x14ac:dyDescent="0.25">
      <c r="C119" s="306" t="s">
        <v>247</v>
      </c>
      <c r="D119" s="379" t="s">
        <v>42</v>
      </c>
      <c r="E119" s="1090" t="s">
        <v>248</v>
      </c>
      <c r="F119" s="1090"/>
      <c r="G119" s="1090"/>
      <c r="H119" s="1090"/>
      <c r="I119" s="1090"/>
      <c r="J119" s="1090"/>
      <c r="K119" s="1090"/>
      <c r="L119" s="1090"/>
      <c r="M119" s="1090"/>
      <c r="N119" s="1090"/>
      <c r="O119" s="1090"/>
    </row>
    <row r="120" spans="1:17" ht="61.25" customHeight="1" x14ac:dyDescent="0.25">
      <c r="C120" s="306" t="s">
        <v>247</v>
      </c>
      <c r="D120" s="379" t="s">
        <v>54</v>
      </c>
      <c r="E120" s="1103" t="s">
        <v>249</v>
      </c>
      <c r="F120" s="1103"/>
      <c r="G120" s="1103"/>
      <c r="H120" s="1103"/>
      <c r="I120" s="1103"/>
      <c r="J120" s="1103"/>
      <c r="K120" s="1103"/>
      <c r="L120" s="1103"/>
      <c r="M120" s="1103"/>
      <c r="N120" s="1103"/>
      <c r="O120" s="1103"/>
    </row>
    <row r="121" spans="1:17" ht="55.25" customHeight="1" x14ac:dyDescent="0.25">
      <c r="C121" s="306" t="s">
        <v>247</v>
      </c>
      <c r="D121" s="379" t="s">
        <v>63</v>
      </c>
      <c r="E121" s="1103" t="s">
        <v>1221</v>
      </c>
      <c r="F121" s="1103"/>
      <c r="G121" s="1103"/>
      <c r="H121" s="1103"/>
      <c r="I121" s="1103"/>
      <c r="J121" s="1103"/>
      <c r="K121" s="1103"/>
      <c r="L121" s="1103"/>
      <c r="M121" s="1103"/>
      <c r="N121" s="1103"/>
      <c r="O121" s="1103"/>
    </row>
    <row r="122" spans="1:17" ht="46.25" customHeight="1" x14ac:dyDescent="0.25">
      <c r="C122" s="306"/>
      <c r="D122" s="378" t="s">
        <v>244</v>
      </c>
      <c r="E122" s="1090" t="s">
        <v>250</v>
      </c>
      <c r="F122" s="1090"/>
      <c r="G122" s="1090"/>
      <c r="H122" s="1090"/>
      <c r="I122" s="1090"/>
      <c r="J122" s="1090"/>
      <c r="K122" s="1090"/>
      <c r="L122" s="1090"/>
      <c r="M122" s="1090"/>
      <c r="N122" s="1090"/>
      <c r="O122" s="1090"/>
    </row>
    <row r="123" spans="1:17" ht="55.5" customHeight="1" x14ac:dyDescent="0.25">
      <c r="C123" s="306"/>
      <c r="D123" s="160" t="s">
        <v>241</v>
      </c>
      <c r="E123" s="1090" t="s">
        <v>251</v>
      </c>
      <c r="F123" s="1090"/>
      <c r="G123" s="1090"/>
      <c r="H123" s="1090"/>
      <c r="I123" s="1090"/>
      <c r="J123" s="1090"/>
      <c r="K123" s="1090"/>
      <c r="L123" s="1090"/>
      <c r="M123" s="1090"/>
      <c r="N123" s="1090"/>
      <c r="O123" s="1090"/>
    </row>
    <row r="124" spans="1:17" ht="45" customHeight="1" x14ac:dyDescent="0.25">
      <c r="C124" s="306"/>
      <c r="D124" s="159" t="s">
        <v>234</v>
      </c>
      <c r="E124" s="1100" t="s">
        <v>252</v>
      </c>
      <c r="F124" s="1100"/>
      <c r="G124" s="1100"/>
      <c r="H124" s="1100"/>
      <c r="I124" s="1100"/>
      <c r="J124" s="1100"/>
      <c r="K124" s="1100"/>
      <c r="L124" s="1100"/>
      <c r="M124" s="1100"/>
      <c r="N124" s="1100"/>
      <c r="O124" s="1100"/>
    </row>
    <row r="125" spans="1:17" ht="32" customHeight="1" x14ac:dyDescent="0.25">
      <c r="C125" s="394" t="s">
        <v>253</v>
      </c>
      <c r="D125" s="292" t="s">
        <v>245</v>
      </c>
      <c r="E125" s="1102" t="s">
        <v>254</v>
      </c>
      <c r="F125" s="1102"/>
      <c r="G125" s="1102"/>
      <c r="H125" s="1102"/>
      <c r="I125" s="1102"/>
      <c r="J125" s="1102"/>
      <c r="K125" s="1102"/>
      <c r="L125" s="1102"/>
      <c r="M125" s="1102"/>
      <c r="N125" s="1102"/>
      <c r="O125" s="1102"/>
    </row>
    <row r="126" spans="1:17" x14ac:dyDescent="0.25">
      <c r="C126" s="395" t="s">
        <v>247</v>
      </c>
      <c r="D126" s="356" t="s">
        <v>31</v>
      </c>
      <c r="E126" s="1104" t="s">
        <v>255</v>
      </c>
      <c r="F126" s="1104"/>
      <c r="G126" s="1104"/>
      <c r="H126" s="1104"/>
      <c r="I126" s="1104"/>
      <c r="J126" s="1104"/>
      <c r="K126" s="1104"/>
      <c r="L126" s="1104"/>
      <c r="M126" s="1104"/>
      <c r="N126" s="1104"/>
      <c r="O126" s="1104"/>
    </row>
    <row r="127" spans="1:17" ht="44" customHeight="1" x14ac:dyDescent="0.25">
      <c r="C127" s="8"/>
      <c r="D127" s="160" t="s">
        <v>236</v>
      </c>
      <c r="E127" s="1100" t="s">
        <v>256</v>
      </c>
      <c r="F127" s="1100"/>
      <c r="G127" s="1100"/>
      <c r="H127" s="1100"/>
      <c r="I127" s="1100"/>
      <c r="J127" s="1100"/>
      <c r="K127" s="1100"/>
      <c r="L127" s="1100"/>
      <c r="M127" s="1100"/>
      <c r="N127" s="1100"/>
      <c r="O127" s="1100"/>
    </row>
    <row r="128" spans="1:17" ht="19.25" customHeight="1" x14ac:dyDescent="0.25">
      <c r="C128" s="8"/>
      <c r="D128" s="160" t="s">
        <v>238</v>
      </c>
      <c r="E128" s="1101" t="s">
        <v>257</v>
      </c>
      <c r="F128" s="1101"/>
      <c r="G128" s="1101"/>
      <c r="H128" s="1101"/>
      <c r="I128" s="1101"/>
      <c r="J128" s="1101"/>
      <c r="K128" s="1101"/>
      <c r="L128" s="1101"/>
      <c r="M128" s="1101"/>
      <c r="N128" s="1101"/>
      <c r="O128" s="1101"/>
    </row>
    <row r="129" spans="3:15" ht="45" customHeight="1" x14ac:dyDescent="0.25">
      <c r="C129" s="8"/>
      <c r="D129" s="160" t="s">
        <v>230</v>
      </c>
      <c r="E129" s="1090" t="s">
        <v>258</v>
      </c>
      <c r="F129" s="1090"/>
      <c r="G129" s="1090"/>
      <c r="H129" s="1090"/>
      <c r="I129" s="1090"/>
      <c r="J129" s="1090"/>
      <c r="K129" s="1090"/>
      <c r="L129" s="1090"/>
      <c r="M129" s="1090"/>
      <c r="N129" s="1090"/>
      <c r="O129" s="1090"/>
    </row>
  </sheetData>
  <autoFilter ref="C5:O100" xr:uid="{F8715366-D1D4-4401-A7F1-66E123033DB1}">
    <filterColumn colId="4" showButton="0"/>
    <filterColumn colId="6" showButton="0"/>
    <filterColumn colId="8" showButton="0"/>
  </autoFilter>
  <mergeCells count="22">
    <mergeCell ref="P5:P6"/>
    <mergeCell ref="B5:B6"/>
    <mergeCell ref="C5:C6"/>
    <mergeCell ref="D5:D6"/>
    <mergeCell ref="E5:E6"/>
    <mergeCell ref="F5:F6"/>
    <mergeCell ref="E129:O129"/>
    <mergeCell ref="I5:J5"/>
    <mergeCell ref="K5:L5"/>
    <mergeCell ref="M5:M6"/>
    <mergeCell ref="O5:O6"/>
    <mergeCell ref="G5:H5"/>
    <mergeCell ref="E122:O122"/>
    <mergeCell ref="E123:O123"/>
    <mergeCell ref="E124:O124"/>
    <mergeCell ref="E127:O127"/>
    <mergeCell ref="E128:O128"/>
    <mergeCell ref="E125:O125"/>
    <mergeCell ref="E119:O119"/>
    <mergeCell ref="E121:O121"/>
    <mergeCell ref="E120:O120"/>
    <mergeCell ref="E126:O126"/>
  </mergeCells>
  <pageMargins left="0.5" right="0.5" top="0.5" bottom="0.5" header="0.5" footer="0.5"/>
  <pageSetup paperSize="17" scale="35" fitToWidth="2" orientation="landscape" r:id="rId1"/>
  <headerFooter alignWithMargins="0"/>
  <rowBreaks count="1" manualBreakCount="1">
    <brk id="10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W157"/>
  <sheetViews>
    <sheetView view="pageBreakPreview" zoomScaleNormal="80" zoomScaleSheetLayoutView="100" workbookViewId="0">
      <pane xSplit="2" ySplit="3" topLeftCell="D4" activePane="bottomRight" state="frozen"/>
      <selection activeCell="B23" sqref="B23:B28"/>
      <selection pane="topRight" activeCell="B23" sqref="B23:B28"/>
      <selection pane="bottomLeft" activeCell="B23" sqref="B23:B28"/>
      <selection pane="bottomRight" activeCell="B23" sqref="B23:B28"/>
    </sheetView>
  </sheetViews>
  <sheetFormatPr defaultRowHeight="14" x14ac:dyDescent="0.3"/>
  <cols>
    <col min="1" max="1" width="2.6640625" customWidth="1"/>
    <col min="2" max="2" width="63.5" customWidth="1"/>
    <col min="3" max="3" width="8.6640625" customWidth="1"/>
    <col min="4" max="4" width="8.9140625" customWidth="1"/>
    <col min="5" max="5" width="9.5" customWidth="1"/>
    <col min="6" max="6" width="6.6640625" bestFit="1" customWidth="1"/>
    <col min="7" max="7" width="9.1640625" customWidth="1"/>
    <col min="8" max="8" width="6.6640625" bestFit="1" customWidth="1"/>
    <col min="9" max="9" width="7.6640625" customWidth="1"/>
    <col min="10" max="10" width="8.4140625" customWidth="1"/>
    <col min="11" max="11" width="6.9140625" bestFit="1" customWidth="1"/>
    <col min="12" max="12" width="7.6640625" customWidth="1"/>
    <col min="13" max="13" width="8.9140625" bestFit="1" customWidth="1"/>
    <col min="14" max="14" width="7" bestFit="1" customWidth="1"/>
    <col min="15" max="15" width="8.08203125" customWidth="1"/>
    <col min="16" max="16" width="1.6640625" customWidth="1"/>
    <col min="17" max="17" width="11.9140625" style="10" bestFit="1" customWidth="1"/>
    <col min="18" max="18" width="10.5" customWidth="1"/>
    <col min="19" max="19" width="10.08203125" customWidth="1"/>
    <col min="20" max="20" width="10.1640625" customWidth="1"/>
    <col min="21" max="21" width="66.58203125" customWidth="1"/>
    <col min="22" max="22" width="3.6640625" customWidth="1"/>
    <col min="23" max="23" width="8.1640625" customWidth="1"/>
  </cols>
  <sheetData>
    <row r="1" spans="1:21" ht="17.75" customHeight="1" x14ac:dyDescent="0.3">
      <c r="A1" s="1140" t="s">
        <v>782</v>
      </c>
      <c r="B1" s="1140"/>
      <c r="C1" s="1140"/>
      <c r="D1" s="1140"/>
      <c r="E1" s="1140"/>
      <c r="F1" s="1140"/>
      <c r="G1" s="1140"/>
      <c r="H1" s="1140"/>
      <c r="I1" s="1140"/>
      <c r="J1" s="1140"/>
      <c r="K1" s="1140"/>
      <c r="L1" s="1140"/>
      <c r="M1" s="1140"/>
      <c r="N1" s="1140"/>
      <c r="O1" s="1140"/>
      <c r="P1" s="1140"/>
      <c r="Q1" s="1140"/>
    </row>
    <row r="2" spans="1:21" x14ac:dyDescent="0.3">
      <c r="A2" s="1136" t="s">
        <v>785</v>
      </c>
      <c r="B2" s="1137"/>
      <c r="C2" s="1130" t="s">
        <v>259</v>
      </c>
      <c r="D2" s="1131"/>
      <c r="E2" s="1130" t="s">
        <v>260</v>
      </c>
      <c r="F2" s="1119"/>
      <c r="G2" s="1131" t="s">
        <v>261</v>
      </c>
      <c r="H2" s="1119"/>
      <c r="I2" s="1131" t="s">
        <v>262</v>
      </c>
      <c r="J2" s="1119"/>
      <c r="K2" s="1131" t="s">
        <v>684</v>
      </c>
      <c r="L2" s="1119"/>
      <c r="M2" s="1121" t="s">
        <v>690</v>
      </c>
      <c r="N2" s="1119" t="s">
        <v>263</v>
      </c>
      <c r="O2" s="1134" t="s">
        <v>264</v>
      </c>
      <c r="P2" s="117"/>
      <c r="Q2" s="1132" t="s">
        <v>265</v>
      </c>
    </row>
    <row r="3" spans="1:21" x14ac:dyDescent="0.3">
      <c r="A3" s="1138"/>
      <c r="B3" s="1139"/>
      <c r="C3" s="210" t="s">
        <v>266</v>
      </c>
      <c r="D3" s="385" t="s">
        <v>267</v>
      </c>
      <c r="E3" s="210" t="s">
        <v>266</v>
      </c>
      <c r="F3" s="168" t="s">
        <v>267</v>
      </c>
      <c r="G3" s="385" t="s">
        <v>266</v>
      </c>
      <c r="H3" s="168" t="s">
        <v>267</v>
      </c>
      <c r="I3" s="385" t="s">
        <v>266</v>
      </c>
      <c r="J3" s="168" t="s">
        <v>267</v>
      </c>
      <c r="K3" s="385" t="s">
        <v>266</v>
      </c>
      <c r="L3" s="168" t="s">
        <v>267</v>
      </c>
      <c r="M3" s="1124"/>
      <c r="N3" s="1120"/>
      <c r="O3" s="1124"/>
      <c r="P3" s="167"/>
      <c r="Q3" s="1133"/>
    </row>
    <row r="4" spans="1:21" x14ac:dyDescent="0.3">
      <c r="A4" s="48"/>
      <c r="B4" s="536" t="s">
        <v>268</v>
      </c>
      <c r="C4" s="218">
        <f>AVERAGE(C51,C31,C11)</f>
        <v>69410</v>
      </c>
      <c r="D4" s="219">
        <f t="shared" ref="D4:M4" si="0">AVERAGE(D51,D31,D11)</f>
        <v>736.66666666666663</v>
      </c>
      <c r="E4" s="218">
        <f t="shared" si="0"/>
        <v>49664</v>
      </c>
      <c r="F4" s="219">
        <f t="shared" si="0"/>
        <v>255</v>
      </c>
      <c r="G4" s="218">
        <f t="shared" si="0"/>
        <v>356.33333333333331</v>
      </c>
      <c r="H4" s="219">
        <f t="shared" si="0"/>
        <v>51.666666666666664</v>
      </c>
      <c r="I4" s="218">
        <f t="shared" si="0"/>
        <v>623.33333333333337</v>
      </c>
      <c r="J4" s="219">
        <f t="shared" si="0"/>
        <v>3</v>
      </c>
      <c r="K4" s="218">
        <f t="shared" si="0"/>
        <v>5672.666666666667</v>
      </c>
      <c r="L4" s="220">
        <f t="shared" si="0"/>
        <v>53</v>
      </c>
      <c r="M4" s="444">
        <f t="shared" si="0"/>
        <v>125726.33333333333</v>
      </c>
      <c r="N4" s="458">
        <f>AVERAGE(N51,N31,N11)</f>
        <v>1099.3333333333333</v>
      </c>
      <c r="O4" s="444">
        <f>AVERAGE(O51,O31,O11)</f>
        <v>199.66666666666666</v>
      </c>
      <c r="P4" s="213"/>
      <c r="Q4" s="398"/>
      <c r="R4" s="53"/>
      <c r="S4" s="310"/>
      <c r="T4" s="310"/>
      <c r="U4" s="310"/>
    </row>
    <row r="5" spans="1:21" x14ac:dyDescent="0.3">
      <c r="A5" s="48"/>
      <c r="B5" s="184" t="s">
        <v>843</v>
      </c>
      <c r="C5" s="221">
        <f>AVERAGE(C54,C34,C14)</f>
        <v>7406.666666666667</v>
      </c>
      <c r="D5" s="219">
        <f t="shared" ref="D5:L5" si="1">AVERAGE(D54,D34,D14)</f>
        <v>188</v>
      </c>
      <c r="E5" s="221">
        <f t="shared" si="1"/>
        <v>5615</v>
      </c>
      <c r="F5" s="219">
        <f t="shared" si="1"/>
        <v>82.333333333333329</v>
      </c>
      <c r="G5" s="221">
        <f t="shared" si="1"/>
        <v>180</v>
      </c>
      <c r="H5" s="219">
        <f t="shared" si="1"/>
        <v>32</v>
      </c>
      <c r="I5" s="221">
        <f t="shared" si="1"/>
        <v>451.66666666666669</v>
      </c>
      <c r="J5" s="219">
        <f t="shared" si="1"/>
        <v>1</v>
      </c>
      <c r="K5" s="221">
        <f t="shared" si="1"/>
        <v>630.66666666666663</v>
      </c>
      <c r="L5" s="222">
        <f t="shared" si="1"/>
        <v>7.666666666666667</v>
      </c>
      <c r="M5" s="444">
        <f>AVERAGE(M54,M34,M14)</f>
        <v>14284</v>
      </c>
      <c r="N5" s="459">
        <f>AVERAGE(N54,N34,N14)</f>
        <v>311</v>
      </c>
      <c r="O5" s="444">
        <f>AVERAGE(O54,O34,O14)</f>
        <v>41</v>
      </c>
      <c r="P5" s="214"/>
      <c r="Q5" s="215">
        <f>N5-O5</f>
        <v>270</v>
      </c>
    </row>
    <row r="6" spans="1:21" x14ac:dyDescent="0.3">
      <c r="A6" s="48"/>
      <c r="B6" s="537" t="s">
        <v>269</v>
      </c>
      <c r="C6" s="223">
        <f t="shared" ref="C6:O6" si="2">AVERAGE(C55,C35,C15)</f>
        <v>1746.3333333333333</v>
      </c>
      <c r="D6" s="224">
        <f t="shared" si="2"/>
        <v>20.666666666666668</v>
      </c>
      <c r="E6" s="223">
        <f t="shared" si="2"/>
        <v>2161</v>
      </c>
      <c r="F6" s="224">
        <f t="shared" si="2"/>
        <v>6</v>
      </c>
      <c r="G6" s="223">
        <f t="shared" si="2"/>
        <v>5</v>
      </c>
      <c r="H6" s="224">
        <f t="shared" si="2"/>
        <v>0</v>
      </c>
      <c r="I6" s="223">
        <f t="shared" si="2"/>
        <v>9.3333333333333339</v>
      </c>
      <c r="J6" s="224">
        <f t="shared" si="2"/>
        <v>0</v>
      </c>
      <c r="K6" s="223">
        <f t="shared" si="2"/>
        <v>189.66666666666666</v>
      </c>
      <c r="L6" s="225">
        <f t="shared" si="2"/>
        <v>2.6666666666666665</v>
      </c>
      <c r="M6" s="460">
        <f t="shared" si="2"/>
        <v>4111.333333333333</v>
      </c>
      <c r="N6" s="445">
        <f t="shared" si="2"/>
        <v>29.333333333333332</v>
      </c>
      <c r="O6" s="461">
        <f t="shared" si="2"/>
        <v>4.333333333333333</v>
      </c>
      <c r="P6" s="216"/>
      <c r="Q6" s="399"/>
    </row>
    <row r="7" spans="1:21" x14ac:dyDescent="0.3">
      <c r="A7" s="48"/>
      <c r="B7" s="443" t="s">
        <v>270</v>
      </c>
      <c r="C7" s="211">
        <f>AVERAGE(C67,C47,C27)</f>
        <v>60257</v>
      </c>
      <c r="D7" s="212">
        <f>AVERAGE(D67,D47,D27)</f>
        <v>528</v>
      </c>
      <c r="E7" s="212">
        <f t="shared" ref="E7:O7" si="3">AVERAGE(E67,E47,E27)</f>
        <v>41888</v>
      </c>
      <c r="F7" s="212">
        <f t="shared" si="3"/>
        <v>166.66666666666666</v>
      </c>
      <c r="G7" s="212">
        <f t="shared" si="3"/>
        <v>171.33333333333334</v>
      </c>
      <c r="H7" s="212">
        <f t="shared" si="3"/>
        <v>19.666666666666668</v>
      </c>
      <c r="I7" s="212">
        <f t="shared" si="3"/>
        <v>162.33333333333334</v>
      </c>
      <c r="J7" s="212">
        <f t="shared" si="3"/>
        <v>2</v>
      </c>
      <c r="K7" s="212">
        <f t="shared" si="3"/>
        <v>4852.333333333333</v>
      </c>
      <c r="L7" s="428">
        <f t="shared" si="3"/>
        <v>42.666666666666664</v>
      </c>
      <c r="M7" s="444">
        <f>AVERAGE(M67,M47,M27)</f>
        <v>107331</v>
      </c>
      <c r="N7" s="445">
        <f>AVERAGE(N67,N47,N27)</f>
        <v>759</v>
      </c>
      <c r="O7" s="444">
        <f t="shared" si="3"/>
        <v>154.33333333333334</v>
      </c>
      <c r="P7" s="216"/>
      <c r="Q7" s="217">
        <f>N7-O7</f>
        <v>604.66666666666663</v>
      </c>
    </row>
    <row r="8" spans="1:21" ht="14.4" customHeight="1" x14ac:dyDescent="0.3">
      <c r="A8" s="69" t="s">
        <v>271</v>
      </c>
      <c r="B8" s="68"/>
      <c r="C8" s="187"/>
      <c r="D8" s="34"/>
      <c r="E8" s="34"/>
      <c r="F8" s="34"/>
      <c r="G8" s="34"/>
      <c r="H8" s="34"/>
      <c r="I8" s="34"/>
      <c r="J8" s="34"/>
      <c r="K8" s="34"/>
      <c r="L8" s="34"/>
      <c r="M8" s="34"/>
      <c r="N8" s="34"/>
      <c r="O8" s="34"/>
      <c r="P8" s="34"/>
      <c r="Q8" s="400"/>
    </row>
    <row r="9" spans="1:21" x14ac:dyDescent="0.3">
      <c r="A9" s="47"/>
      <c r="B9" s="1142" t="s">
        <v>650</v>
      </c>
      <c r="C9" s="1129" t="s">
        <v>259</v>
      </c>
      <c r="D9" s="1129"/>
      <c r="E9" s="1129" t="s">
        <v>260</v>
      </c>
      <c r="F9" s="1129"/>
      <c r="G9" s="1129" t="s">
        <v>261</v>
      </c>
      <c r="H9" s="1129"/>
      <c r="I9" s="1129" t="s">
        <v>262</v>
      </c>
      <c r="J9" s="1129"/>
      <c r="K9" s="1129" t="s">
        <v>684</v>
      </c>
      <c r="L9" s="1135"/>
      <c r="M9" s="1121" t="s">
        <v>690</v>
      </c>
      <c r="N9" s="1119" t="s">
        <v>263</v>
      </c>
      <c r="O9" s="1141" t="s">
        <v>264</v>
      </c>
      <c r="P9" s="117"/>
      <c r="Q9" s="1141" t="s">
        <v>265</v>
      </c>
    </row>
    <row r="10" spans="1:21" x14ac:dyDescent="0.3">
      <c r="A10" s="47"/>
      <c r="B10" s="1143"/>
      <c r="C10" s="383" t="s">
        <v>266</v>
      </c>
      <c r="D10" s="383" t="s">
        <v>267</v>
      </c>
      <c r="E10" s="383" t="s">
        <v>266</v>
      </c>
      <c r="F10" s="383" t="s">
        <v>267</v>
      </c>
      <c r="G10" s="383" t="s">
        <v>266</v>
      </c>
      <c r="H10" s="383" t="s">
        <v>267</v>
      </c>
      <c r="I10" s="383" t="s">
        <v>266</v>
      </c>
      <c r="J10" s="383" t="s">
        <v>267</v>
      </c>
      <c r="K10" s="383" t="s">
        <v>266</v>
      </c>
      <c r="L10" s="382" t="s">
        <v>267</v>
      </c>
      <c r="M10" s="1124"/>
      <c r="N10" s="1120"/>
      <c r="O10" s="1133"/>
      <c r="P10" s="167"/>
      <c r="Q10" s="1133"/>
    </row>
    <row r="11" spans="1:21" x14ac:dyDescent="0.3">
      <c r="A11" s="47"/>
      <c r="B11" s="72" t="s">
        <v>681</v>
      </c>
      <c r="C11" s="66">
        <f>SUM(C12:C13)</f>
        <v>72410</v>
      </c>
      <c r="D11" s="66">
        <f t="shared" ref="D11:O11" si="4">SUM(D12:D13)</f>
        <v>738</v>
      </c>
      <c r="E11" s="66">
        <f t="shared" si="4"/>
        <v>53182</v>
      </c>
      <c r="F11" s="66">
        <f t="shared" si="4"/>
        <v>242</v>
      </c>
      <c r="G11" s="66">
        <f t="shared" si="4"/>
        <v>460</v>
      </c>
      <c r="H11" s="66">
        <f t="shared" si="4"/>
        <v>67</v>
      </c>
      <c r="I11" s="66">
        <f t="shared" si="4"/>
        <v>1039</v>
      </c>
      <c r="J11" s="66">
        <f t="shared" si="4"/>
        <v>4</v>
      </c>
      <c r="K11" s="66">
        <f t="shared" si="4"/>
        <v>6366</v>
      </c>
      <c r="L11" s="66">
        <f t="shared" si="4"/>
        <v>47</v>
      </c>
      <c r="M11" s="66">
        <f t="shared" si="4"/>
        <v>133457</v>
      </c>
      <c r="N11" s="66">
        <f t="shared" si="4"/>
        <v>1098</v>
      </c>
      <c r="O11" s="66">
        <f t="shared" si="4"/>
        <v>197</v>
      </c>
      <c r="P11" s="35"/>
      <c r="Q11" s="401"/>
    </row>
    <row r="12" spans="1:21" x14ac:dyDescent="0.3">
      <c r="A12" s="47"/>
      <c r="B12" s="484" t="s">
        <v>268</v>
      </c>
      <c r="C12" s="538">
        <v>71166</v>
      </c>
      <c r="D12" s="531">
        <v>730</v>
      </c>
      <c r="E12" s="531">
        <v>52495</v>
      </c>
      <c r="F12" s="531">
        <v>237</v>
      </c>
      <c r="G12" s="531">
        <v>442</v>
      </c>
      <c r="H12" s="531">
        <v>67</v>
      </c>
      <c r="I12" s="531">
        <v>1033</v>
      </c>
      <c r="J12" s="531">
        <v>4</v>
      </c>
      <c r="K12" s="531">
        <v>6281</v>
      </c>
      <c r="L12" s="532">
        <v>47</v>
      </c>
      <c r="M12" s="182">
        <f t="shared" ref="M12" si="5">SUM(C12,E12,G12,I12,K12)</f>
        <v>131417</v>
      </c>
      <c r="N12" s="183">
        <f t="shared" ref="N12" si="6">SUM(D12,F12,H12,J12,L12)</f>
        <v>1085</v>
      </c>
      <c r="O12" s="610">
        <f>F134</f>
        <v>194</v>
      </c>
      <c r="Q12" s="402"/>
    </row>
    <row r="13" spans="1:21" x14ac:dyDescent="0.3">
      <c r="A13" s="47"/>
      <c r="B13" s="184" t="s">
        <v>841</v>
      </c>
      <c r="C13" s="63">
        <f>C71</f>
        <v>1244</v>
      </c>
      <c r="D13" s="63">
        <f t="shared" ref="D13:L13" si="7">D71</f>
        <v>8</v>
      </c>
      <c r="E13" s="63">
        <f t="shared" si="7"/>
        <v>687</v>
      </c>
      <c r="F13" s="63">
        <f t="shared" si="7"/>
        <v>5</v>
      </c>
      <c r="G13" s="63">
        <f t="shared" si="7"/>
        <v>18</v>
      </c>
      <c r="H13" s="63">
        <f t="shared" si="7"/>
        <v>0</v>
      </c>
      <c r="I13" s="63">
        <f t="shared" si="7"/>
        <v>6</v>
      </c>
      <c r="J13" s="63">
        <f t="shared" si="7"/>
        <v>0</v>
      </c>
      <c r="K13" s="63">
        <f t="shared" si="7"/>
        <v>85</v>
      </c>
      <c r="L13" s="63">
        <f t="shared" si="7"/>
        <v>0</v>
      </c>
      <c r="M13" s="85">
        <f t="shared" ref="M13:N14" si="8">SUM(C13,E13,G13,I13,K13)</f>
        <v>2040</v>
      </c>
      <c r="N13" s="75">
        <f t="shared" si="8"/>
        <v>13</v>
      </c>
      <c r="O13" s="63">
        <f>O71</f>
        <v>3</v>
      </c>
      <c r="Q13" s="402"/>
    </row>
    <row r="14" spans="1:21" x14ac:dyDescent="0.3">
      <c r="A14" s="47"/>
      <c r="B14" s="71" t="s">
        <v>272</v>
      </c>
      <c r="C14" s="494">
        <v>8896</v>
      </c>
      <c r="D14" s="494">
        <v>239</v>
      </c>
      <c r="E14" s="494">
        <v>7303</v>
      </c>
      <c r="F14" s="494">
        <v>89</v>
      </c>
      <c r="G14" s="494">
        <v>236</v>
      </c>
      <c r="H14" s="494">
        <v>42</v>
      </c>
      <c r="I14" s="494">
        <v>824</v>
      </c>
      <c r="J14" s="494">
        <v>0</v>
      </c>
      <c r="K14" s="494">
        <v>909</v>
      </c>
      <c r="L14" s="530">
        <v>13</v>
      </c>
      <c r="M14" s="64">
        <f t="shared" si="8"/>
        <v>18168</v>
      </c>
      <c r="N14" s="75">
        <f t="shared" si="8"/>
        <v>383</v>
      </c>
      <c r="O14" s="493">
        <v>58</v>
      </c>
      <c r="Q14" s="215">
        <f>N14-O14</f>
        <v>325</v>
      </c>
    </row>
    <row r="15" spans="1:21" x14ac:dyDescent="0.3">
      <c r="A15" s="47"/>
      <c r="B15" s="71" t="s">
        <v>804</v>
      </c>
      <c r="C15" s="63">
        <f t="shared" ref="C15:L15" si="9">SUM(C16:C26)</f>
        <v>2088</v>
      </c>
      <c r="D15" s="63">
        <f>SUM(D16:D26)</f>
        <v>16</v>
      </c>
      <c r="E15" s="63">
        <f>SUM(E16:E26)</f>
        <v>2733</v>
      </c>
      <c r="F15" s="63">
        <f>SUM(F16:F26)</f>
        <v>5</v>
      </c>
      <c r="G15" s="63">
        <f t="shared" si="9"/>
        <v>8</v>
      </c>
      <c r="H15" s="63">
        <f t="shared" si="9"/>
        <v>0</v>
      </c>
      <c r="I15" s="63">
        <f t="shared" si="9"/>
        <v>4</v>
      </c>
      <c r="J15" s="63">
        <f t="shared" si="9"/>
        <v>0</v>
      </c>
      <c r="K15" s="63">
        <f t="shared" si="9"/>
        <v>224</v>
      </c>
      <c r="L15" s="63">
        <f t="shared" si="9"/>
        <v>1</v>
      </c>
      <c r="M15" s="85">
        <f>SUM(C15,E15,G15,I15,K15)</f>
        <v>5057</v>
      </c>
      <c r="N15" s="75">
        <f>SUM(D15,F15,H15,J15,L15)</f>
        <v>22</v>
      </c>
      <c r="O15" s="70">
        <f>SUM(O16:O25)</f>
        <v>6</v>
      </c>
      <c r="Q15" s="26"/>
    </row>
    <row r="16" spans="1:21" x14ac:dyDescent="0.3">
      <c r="A16" s="47"/>
      <c r="B16" s="184" t="s">
        <v>803</v>
      </c>
      <c r="C16" s="494">
        <f>6+4</f>
        <v>10</v>
      </c>
      <c r="D16" s="494">
        <v>0</v>
      </c>
      <c r="E16" s="494">
        <f>49+2</f>
        <v>51</v>
      </c>
      <c r="F16" s="494">
        <v>0</v>
      </c>
      <c r="G16" s="494">
        <v>0</v>
      </c>
      <c r="H16" s="494">
        <v>0</v>
      </c>
      <c r="I16" s="494">
        <v>0</v>
      </c>
      <c r="J16" s="494">
        <v>0</v>
      </c>
      <c r="K16" s="494">
        <v>0</v>
      </c>
      <c r="L16" s="530">
        <v>0</v>
      </c>
      <c r="M16" s="64">
        <f>SUM(C16,E16,G16,I16,K16)</f>
        <v>61</v>
      </c>
      <c r="N16" s="75">
        <f t="shared" ref="N16:N19" si="10">SUM(D16,F16,H16,J16,L16)</f>
        <v>0</v>
      </c>
      <c r="O16" s="493">
        <v>0</v>
      </c>
      <c r="Q16" s="26"/>
      <c r="R16" s="8"/>
    </row>
    <row r="17" spans="1:17" x14ac:dyDescent="0.3">
      <c r="A17" s="47"/>
      <c r="B17" s="184" t="s">
        <v>816</v>
      </c>
      <c r="C17" s="494">
        <f>27+29</f>
        <v>56</v>
      </c>
      <c r="D17" s="494">
        <v>1</v>
      </c>
      <c r="E17" s="494">
        <f>230+45</f>
        <v>275</v>
      </c>
      <c r="F17" s="494">
        <v>0</v>
      </c>
      <c r="G17" s="494">
        <v>0</v>
      </c>
      <c r="H17" s="494">
        <v>0</v>
      </c>
      <c r="I17" s="494">
        <v>1</v>
      </c>
      <c r="J17" s="494">
        <v>0</v>
      </c>
      <c r="K17" s="494">
        <v>10</v>
      </c>
      <c r="L17" s="530">
        <v>0</v>
      </c>
      <c r="M17" s="64">
        <f t="shared" ref="M17:M19" si="11">SUM(C17,E17,G17,I17,K17)</f>
        <v>342</v>
      </c>
      <c r="N17" s="75">
        <f t="shared" si="10"/>
        <v>1</v>
      </c>
      <c r="O17" s="493">
        <v>1</v>
      </c>
      <c r="Q17" s="26"/>
    </row>
    <row r="18" spans="1:17" x14ac:dyDescent="0.3">
      <c r="A18" s="47"/>
      <c r="B18" s="184" t="s">
        <v>812</v>
      </c>
      <c r="C18" s="77"/>
      <c r="D18" s="77"/>
      <c r="E18" s="77"/>
      <c r="F18" s="77"/>
      <c r="G18" s="77"/>
      <c r="H18" s="77"/>
      <c r="I18" s="77"/>
      <c r="J18" s="77"/>
      <c r="K18" s="77"/>
      <c r="L18" s="78"/>
      <c r="M18" s="79"/>
      <c r="N18" s="80"/>
      <c r="O18" s="81"/>
      <c r="Q18" s="26"/>
    </row>
    <row r="19" spans="1:17" x14ac:dyDescent="0.3">
      <c r="A19" s="47"/>
      <c r="B19" s="486" t="s">
        <v>815</v>
      </c>
      <c r="C19" s="527">
        <f>78+884</f>
        <v>962</v>
      </c>
      <c r="D19" s="527">
        <v>6</v>
      </c>
      <c r="E19" s="527">
        <f>578+226</f>
        <v>804</v>
      </c>
      <c r="F19" s="527">
        <v>3</v>
      </c>
      <c r="G19" s="527">
        <f>3+1</f>
        <v>4</v>
      </c>
      <c r="H19" s="527">
        <v>0</v>
      </c>
      <c r="I19" s="527">
        <v>0</v>
      </c>
      <c r="J19" s="527">
        <v>0</v>
      </c>
      <c r="K19" s="527">
        <f>87+43</f>
        <v>130</v>
      </c>
      <c r="L19" s="528">
        <v>1</v>
      </c>
      <c r="M19" s="441">
        <f t="shared" si="11"/>
        <v>1900</v>
      </c>
      <c r="N19" s="442">
        <f t="shared" si="10"/>
        <v>10</v>
      </c>
      <c r="O19" s="529">
        <v>1</v>
      </c>
      <c r="Q19" s="26"/>
    </row>
    <row r="20" spans="1:17" x14ac:dyDescent="0.3">
      <c r="A20" s="47"/>
      <c r="B20" s="184" t="s">
        <v>224</v>
      </c>
      <c r="C20" s="494">
        <v>5</v>
      </c>
      <c r="D20" s="494">
        <v>0</v>
      </c>
      <c r="E20" s="494">
        <f>55+13</f>
        <v>68</v>
      </c>
      <c r="F20" s="494">
        <v>0</v>
      </c>
      <c r="G20" s="494">
        <v>0</v>
      </c>
      <c r="H20" s="494">
        <v>0</v>
      </c>
      <c r="I20" s="494">
        <v>1</v>
      </c>
      <c r="J20" s="494">
        <v>0</v>
      </c>
      <c r="K20" s="494">
        <v>2</v>
      </c>
      <c r="L20" s="530">
        <v>0</v>
      </c>
      <c r="M20" s="441">
        <f t="shared" ref="M20:M25" si="12">SUM(C20,E20,G20,I20,K20)</f>
        <v>76</v>
      </c>
      <c r="N20" s="442">
        <f t="shared" ref="N20:N25" si="13">SUM(D20,F20,H20,J20,L20)</f>
        <v>0</v>
      </c>
      <c r="O20" s="493">
        <v>0</v>
      </c>
      <c r="Q20" s="26"/>
    </row>
    <row r="21" spans="1:17" x14ac:dyDescent="0.3">
      <c r="A21" s="47"/>
      <c r="B21" s="184" t="s">
        <v>817</v>
      </c>
      <c r="C21" s="77"/>
      <c r="D21" s="77"/>
      <c r="E21" s="77"/>
      <c r="F21" s="77"/>
      <c r="G21" s="77"/>
      <c r="H21" s="77"/>
      <c r="I21" s="77"/>
      <c r="J21" s="77"/>
      <c r="K21" s="77"/>
      <c r="L21" s="78"/>
      <c r="M21" s="79"/>
      <c r="N21" s="80"/>
      <c r="O21" s="81"/>
      <c r="Q21" s="26"/>
    </row>
    <row r="22" spans="1:17" x14ac:dyDescent="0.3">
      <c r="A22" s="47"/>
      <c r="B22" s="421" t="s">
        <v>654</v>
      </c>
      <c r="C22" s="494">
        <f>59+182</f>
        <v>241</v>
      </c>
      <c r="D22" s="494">
        <v>5</v>
      </c>
      <c r="E22" s="494">
        <f>416+105</f>
        <v>521</v>
      </c>
      <c r="F22" s="494">
        <v>1</v>
      </c>
      <c r="G22" s="494">
        <f>1+1</f>
        <v>2</v>
      </c>
      <c r="H22" s="494">
        <v>0</v>
      </c>
      <c r="I22" s="494">
        <v>0</v>
      </c>
      <c r="J22" s="494">
        <v>0</v>
      </c>
      <c r="K22" s="494">
        <f>7+5</f>
        <v>12</v>
      </c>
      <c r="L22" s="530">
        <v>0</v>
      </c>
      <c r="M22" s="441">
        <f t="shared" si="12"/>
        <v>776</v>
      </c>
      <c r="N22" s="442">
        <f t="shared" si="13"/>
        <v>6</v>
      </c>
      <c r="O22" s="493">
        <v>3</v>
      </c>
      <c r="Q22" s="26"/>
    </row>
    <row r="23" spans="1:17" x14ac:dyDescent="0.3">
      <c r="A23" s="47"/>
      <c r="B23" s="184" t="s">
        <v>653</v>
      </c>
      <c r="C23" s="494">
        <f>51+200</f>
        <v>251</v>
      </c>
      <c r="D23" s="494">
        <v>3</v>
      </c>
      <c r="E23" s="494">
        <f>331+108</f>
        <v>439</v>
      </c>
      <c r="F23" s="494">
        <v>0</v>
      </c>
      <c r="G23" s="494">
        <v>1</v>
      </c>
      <c r="H23" s="494">
        <v>0</v>
      </c>
      <c r="I23" s="494">
        <v>1</v>
      </c>
      <c r="J23" s="494">
        <v>0</v>
      </c>
      <c r="K23" s="494">
        <f>20+6</f>
        <v>26</v>
      </c>
      <c r="L23" s="530">
        <v>0</v>
      </c>
      <c r="M23" s="441">
        <f t="shared" si="12"/>
        <v>718</v>
      </c>
      <c r="N23" s="442">
        <f t="shared" si="13"/>
        <v>3</v>
      </c>
      <c r="O23" s="493">
        <v>1</v>
      </c>
      <c r="Q23" s="26"/>
    </row>
    <row r="24" spans="1:17" x14ac:dyDescent="0.3">
      <c r="A24" s="47"/>
      <c r="B24" s="184" t="s">
        <v>810</v>
      </c>
      <c r="C24" s="494">
        <f>33+397</f>
        <v>430</v>
      </c>
      <c r="D24" s="494">
        <v>1</v>
      </c>
      <c r="E24" s="494">
        <f>117+163</f>
        <v>280</v>
      </c>
      <c r="F24" s="494">
        <v>0</v>
      </c>
      <c r="G24" s="494">
        <v>0</v>
      </c>
      <c r="H24" s="494">
        <v>0</v>
      </c>
      <c r="I24" s="494">
        <v>0</v>
      </c>
      <c r="J24" s="494">
        <v>0</v>
      </c>
      <c r="K24" s="494">
        <f>6+10</f>
        <v>16</v>
      </c>
      <c r="L24" s="530">
        <v>0</v>
      </c>
      <c r="M24" s="441">
        <f t="shared" si="12"/>
        <v>726</v>
      </c>
      <c r="N24" s="442">
        <f t="shared" si="13"/>
        <v>1</v>
      </c>
      <c r="O24" s="493">
        <v>0</v>
      </c>
      <c r="Q24" s="26"/>
    </row>
    <row r="25" spans="1:17" x14ac:dyDescent="0.3">
      <c r="A25" s="47"/>
      <c r="B25" s="184" t="s">
        <v>814</v>
      </c>
      <c r="C25" s="494">
        <f>68+65</f>
        <v>133</v>
      </c>
      <c r="D25" s="494">
        <v>0</v>
      </c>
      <c r="E25" s="494">
        <f>270+25</f>
        <v>295</v>
      </c>
      <c r="F25" s="494">
        <v>1</v>
      </c>
      <c r="G25" s="494">
        <v>1</v>
      </c>
      <c r="H25" s="494">
        <v>0</v>
      </c>
      <c r="I25" s="494">
        <v>1</v>
      </c>
      <c r="J25" s="494">
        <v>0</v>
      </c>
      <c r="K25" s="494">
        <f>28</f>
        <v>28</v>
      </c>
      <c r="L25" s="530">
        <v>0</v>
      </c>
      <c r="M25" s="441">
        <f t="shared" si="12"/>
        <v>458</v>
      </c>
      <c r="N25" s="442">
        <f t="shared" si="13"/>
        <v>1</v>
      </c>
      <c r="O25" s="493">
        <v>0</v>
      </c>
      <c r="Q25" s="26"/>
    </row>
    <row r="26" spans="1:17" x14ac:dyDescent="0.3">
      <c r="A26" s="47"/>
      <c r="B26" s="421" t="s">
        <v>813</v>
      </c>
      <c r="C26" s="73"/>
      <c r="D26" s="73"/>
      <c r="E26" s="73"/>
      <c r="F26" s="73"/>
      <c r="G26" s="73"/>
      <c r="H26" s="73"/>
      <c r="I26" s="73"/>
      <c r="J26" s="73"/>
      <c r="K26" s="73"/>
      <c r="L26" s="76"/>
      <c r="M26" s="73"/>
      <c r="N26" s="76"/>
      <c r="O26" s="73"/>
      <c r="P26" s="28"/>
      <c r="Q26" s="403"/>
    </row>
    <row r="27" spans="1:17" s="170" customFormat="1" x14ac:dyDescent="0.3">
      <c r="A27" s="422"/>
      <c r="B27" s="423" t="s">
        <v>270</v>
      </c>
      <c r="C27" s="424">
        <f t="shared" ref="C27:O27" si="14">C11-SUM(C14,C15)</f>
        <v>61426</v>
      </c>
      <c r="D27" s="424">
        <f t="shared" si="14"/>
        <v>483</v>
      </c>
      <c r="E27" s="424">
        <f t="shared" si="14"/>
        <v>43146</v>
      </c>
      <c r="F27" s="424">
        <f t="shared" si="14"/>
        <v>148</v>
      </c>
      <c r="G27" s="424">
        <f t="shared" si="14"/>
        <v>216</v>
      </c>
      <c r="H27" s="424">
        <f t="shared" si="14"/>
        <v>25</v>
      </c>
      <c r="I27" s="424">
        <f t="shared" si="14"/>
        <v>211</v>
      </c>
      <c r="J27" s="424">
        <f t="shared" si="14"/>
        <v>4</v>
      </c>
      <c r="K27" s="424">
        <f t="shared" si="14"/>
        <v>5233</v>
      </c>
      <c r="L27" s="425">
        <f t="shared" si="14"/>
        <v>33</v>
      </c>
      <c r="M27" s="424">
        <f t="shared" si="14"/>
        <v>110232</v>
      </c>
      <c r="N27" s="425">
        <f t="shared" si="14"/>
        <v>693</v>
      </c>
      <c r="O27" s="424">
        <f t="shared" si="14"/>
        <v>133</v>
      </c>
      <c r="P27" s="426"/>
      <c r="Q27" s="427">
        <f>N27-O27</f>
        <v>560</v>
      </c>
    </row>
    <row r="28" spans="1:17" ht="7.25" customHeight="1" x14ac:dyDescent="0.3">
      <c r="A28" s="47"/>
      <c r="B28" s="48"/>
      <c r="C28" s="48"/>
      <c r="D28" s="67"/>
      <c r="E28" s="67"/>
      <c r="F28" s="48"/>
      <c r="G28" s="48"/>
      <c r="H28" s="48"/>
      <c r="I28" s="34"/>
      <c r="J28" s="34"/>
      <c r="K28" s="48"/>
      <c r="L28" s="48"/>
      <c r="M28" s="48"/>
      <c r="N28" s="48"/>
      <c r="O28" s="48"/>
      <c r="P28" s="48"/>
      <c r="Q28" s="404"/>
    </row>
    <row r="29" spans="1:17" x14ac:dyDescent="0.3">
      <c r="A29" s="47"/>
      <c r="B29" s="1142" t="s">
        <v>651</v>
      </c>
      <c r="C29" s="1131" t="s">
        <v>259</v>
      </c>
      <c r="D29" s="1131"/>
      <c r="E29" s="1131" t="s">
        <v>260</v>
      </c>
      <c r="F29" s="1131"/>
      <c r="G29" s="1131" t="s">
        <v>261</v>
      </c>
      <c r="H29" s="1131"/>
      <c r="I29" s="1129" t="s">
        <v>262</v>
      </c>
      <c r="J29" s="1129"/>
      <c r="K29" s="1131" t="s">
        <v>684</v>
      </c>
      <c r="L29" s="1119"/>
      <c r="M29" s="1121" t="s">
        <v>690</v>
      </c>
      <c r="N29" s="1119" t="s">
        <v>263</v>
      </c>
      <c r="O29" s="1132" t="s">
        <v>264</v>
      </c>
      <c r="P29" s="169"/>
      <c r="Q29" s="1132" t="s">
        <v>265</v>
      </c>
    </row>
    <row r="30" spans="1:17" x14ac:dyDescent="0.3">
      <c r="A30" s="47"/>
      <c r="B30" s="1143">
        <v>2017</v>
      </c>
      <c r="C30" s="383" t="s">
        <v>266</v>
      </c>
      <c r="D30" s="383" t="s">
        <v>267</v>
      </c>
      <c r="E30" s="383" t="s">
        <v>266</v>
      </c>
      <c r="F30" s="383" t="s">
        <v>267</v>
      </c>
      <c r="G30" s="383" t="s">
        <v>266</v>
      </c>
      <c r="H30" s="383" t="s">
        <v>267</v>
      </c>
      <c r="I30" s="383" t="s">
        <v>266</v>
      </c>
      <c r="J30" s="383" t="s">
        <v>267</v>
      </c>
      <c r="K30" s="383" t="s">
        <v>266</v>
      </c>
      <c r="L30" s="382" t="s">
        <v>267</v>
      </c>
      <c r="M30" s="1124"/>
      <c r="N30" s="1120"/>
      <c r="O30" s="1133"/>
      <c r="P30" s="167"/>
      <c r="Q30" s="1133"/>
    </row>
    <row r="31" spans="1:17" x14ac:dyDescent="0.3">
      <c r="A31" s="47"/>
      <c r="B31" s="72" t="s">
        <v>681</v>
      </c>
      <c r="C31" s="179">
        <f>SUM(C32:C33)</f>
        <v>72153</v>
      </c>
      <c r="D31" s="180">
        <f>SUM(D32:D33)</f>
        <v>727</v>
      </c>
      <c r="E31" s="180">
        <f t="shared" ref="E31:N31" si="15">SUM(E32:E33)</f>
        <v>49553</v>
      </c>
      <c r="F31" s="180">
        <f t="shared" si="15"/>
        <v>242</v>
      </c>
      <c r="G31" s="180">
        <f t="shared" si="15"/>
        <v>342</v>
      </c>
      <c r="H31" s="180">
        <f t="shared" si="15"/>
        <v>46</v>
      </c>
      <c r="I31" s="180">
        <f t="shared" si="15"/>
        <v>469</v>
      </c>
      <c r="J31" s="180">
        <f t="shared" si="15"/>
        <v>2</v>
      </c>
      <c r="K31" s="180">
        <f t="shared" si="15"/>
        <v>5537</v>
      </c>
      <c r="L31" s="181">
        <f t="shared" si="15"/>
        <v>57</v>
      </c>
      <c r="M31" s="182">
        <f t="shared" si="15"/>
        <v>128054</v>
      </c>
      <c r="N31" s="183">
        <f t="shared" si="15"/>
        <v>1074</v>
      </c>
      <c r="O31" s="84">
        <f>SUM(O32:O33)</f>
        <v>213</v>
      </c>
      <c r="P31" s="82"/>
      <c r="Q31" s="405"/>
    </row>
    <row r="32" spans="1:17" x14ac:dyDescent="0.3">
      <c r="A32" s="47"/>
      <c r="B32" s="484" t="s">
        <v>268</v>
      </c>
      <c r="C32" s="538">
        <v>69638</v>
      </c>
      <c r="D32" s="531">
        <v>706</v>
      </c>
      <c r="E32" s="531">
        <v>48796</v>
      </c>
      <c r="F32" s="531">
        <v>239</v>
      </c>
      <c r="G32" s="531">
        <v>329</v>
      </c>
      <c r="H32" s="531">
        <v>46</v>
      </c>
      <c r="I32" s="531">
        <v>460</v>
      </c>
      <c r="J32" s="531">
        <v>2</v>
      </c>
      <c r="K32" s="531">
        <v>5455</v>
      </c>
      <c r="L32" s="532">
        <v>56</v>
      </c>
      <c r="M32" s="182">
        <f>SUM(C32,E32,G32,I32,K32)</f>
        <v>124678</v>
      </c>
      <c r="N32" s="183">
        <f t="shared" ref="N32" si="16">SUM(D32,F32,H32,J32,L32)</f>
        <v>1049</v>
      </c>
      <c r="O32" s="611">
        <f>G134</f>
        <v>209</v>
      </c>
      <c r="Q32" s="26"/>
    </row>
    <row r="33" spans="1:18" x14ac:dyDescent="0.3">
      <c r="A33" s="47"/>
      <c r="B33" s="537" t="s">
        <v>842</v>
      </c>
      <c r="C33" s="65">
        <f>C72</f>
        <v>2515</v>
      </c>
      <c r="D33" s="65">
        <f t="shared" ref="D33:L33" si="17">D72</f>
        <v>21</v>
      </c>
      <c r="E33" s="65">
        <f t="shared" si="17"/>
        <v>757</v>
      </c>
      <c r="F33" s="65">
        <f t="shared" si="17"/>
        <v>3</v>
      </c>
      <c r="G33" s="65">
        <f t="shared" si="17"/>
        <v>13</v>
      </c>
      <c r="H33" s="65">
        <f t="shared" si="17"/>
        <v>0</v>
      </c>
      <c r="I33" s="65">
        <f t="shared" si="17"/>
        <v>9</v>
      </c>
      <c r="J33" s="65">
        <f t="shared" si="17"/>
        <v>0</v>
      </c>
      <c r="K33" s="65">
        <f t="shared" si="17"/>
        <v>82</v>
      </c>
      <c r="L33" s="65">
        <f t="shared" si="17"/>
        <v>1</v>
      </c>
      <c r="M33" s="211">
        <f>SUM(C33,E33,G33,I33,K33)</f>
        <v>3376</v>
      </c>
      <c r="N33" s="428">
        <f t="shared" ref="N33:N34" si="18">SUM(D33,F33,H33,J33,L33)</f>
        <v>25</v>
      </c>
      <c r="O33" s="544">
        <f>O72</f>
        <v>4</v>
      </c>
      <c r="Q33" s="26"/>
    </row>
    <row r="34" spans="1:18" x14ac:dyDescent="0.3">
      <c r="A34" s="47"/>
      <c r="B34" s="72" t="s">
        <v>272</v>
      </c>
      <c r="C34" s="545">
        <v>8742</v>
      </c>
      <c r="D34" s="545">
        <v>211</v>
      </c>
      <c r="E34" s="545">
        <v>6007</v>
      </c>
      <c r="F34" s="545">
        <v>75</v>
      </c>
      <c r="G34" s="545">
        <v>180</v>
      </c>
      <c r="H34" s="545">
        <v>29</v>
      </c>
      <c r="I34" s="545">
        <v>309</v>
      </c>
      <c r="J34" s="545">
        <v>0</v>
      </c>
      <c r="K34" s="545">
        <v>649</v>
      </c>
      <c r="L34" s="546">
        <v>5</v>
      </c>
      <c r="M34" s="547">
        <f>SUM(C34,E34,G34,I34,K34)</f>
        <v>15887</v>
      </c>
      <c r="N34" s="548">
        <f t="shared" si="18"/>
        <v>320</v>
      </c>
      <c r="O34" s="549">
        <v>46</v>
      </c>
      <c r="Q34" s="406">
        <f>N34-O34</f>
        <v>274</v>
      </c>
    </row>
    <row r="35" spans="1:18" x14ac:dyDescent="0.3">
      <c r="A35" s="47"/>
      <c r="B35" s="71" t="s">
        <v>804</v>
      </c>
      <c r="C35" s="63">
        <f>SUM(C36:C45)</f>
        <v>1818</v>
      </c>
      <c r="D35" s="63">
        <f t="shared" ref="D35:L35" si="19">SUM(D36:D45)</f>
        <v>15</v>
      </c>
      <c r="E35" s="63">
        <f t="shared" si="19"/>
        <v>2109</v>
      </c>
      <c r="F35" s="63">
        <f t="shared" si="19"/>
        <v>7</v>
      </c>
      <c r="G35" s="63">
        <f t="shared" si="19"/>
        <v>5</v>
      </c>
      <c r="H35" s="63">
        <f t="shared" si="19"/>
        <v>0</v>
      </c>
      <c r="I35" s="63">
        <f t="shared" si="19"/>
        <v>8</v>
      </c>
      <c r="J35" s="63">
        <f t="shared" si="19"/>
        <v>0</v>
      </c>
      <c r="K35" s="63">
        <f t="shared" si="19"/>
        <v>159</v>
      </c>
      <c r="L35" s="63">
        <f t="shared" si="19"/>
        <v>4</v>
      </c>
      <c r="M35" s="85">
        <f>SUM(C35,E35,G35,I35,K35)</f>
        <v>4099</v>
      </c>
      <c r="N35" s="75">
        <f>SUM(D35,F35,H35,J35,L35)</f>
        <v>26</v>
      </c>
      <c r="O35" s="70">
        <f>SUM(O36:O45)</f>
        <v>4</v>
      </c>
      <c r="Q35" s="26"/>
    </row>
    <row r="36" spans="1:18" x14ac:dyDescent="0.3">
      <c r="A36" s="47"/>
      <c r="B36" s="184" t="s">
        <v>803</v>
      </c>
      <c r="C36" s="494">
        <v>8</v>
      </c>
      <c r="D36" s="494">
        <v>0</v>
      </c>
      <c r="E36" s="494">
        <v>40</v>
      </c>
      <c r="F36" s="494">
        <v>0</v>
      </c>
      <c r="G36" s="494">
        <v>0</v>
      </c>
      <c r="H36" s="494">
        <v>0</v>
      </c>
      <c r="I36" s="494">
        <v>0</v>
      </c>
      <c r="J36" s="494">
        <v>0</v>
      </c>
      <c r="K36" s="494">
        <v>0</v>
      </c>
      <c r="L36" s="530">
        <v>0</v>
      </c>
      <c r="M36" s="64">
        <f t="shared" ref="M36:M44" si="20">SUM(C36,E36,G36,I36,K36)</f>
        <v>48</v>
      </c>
      <c r="N36" s="75">
        <f t="shared" ref="N36:N44" si="21">SUM(D36,F36,H36,J36,L36)</f>
        <v>0</v>
      </c>
      <c r="O36" s="493">
        <v>0</v>
      </c>
      <c r="Q36" s="26"/>
    </row>
    <row r="37" spans="1:18" x14ac:dyDescent="0.3">
      <c r="A37" s="47"/>
      <c r="B37" s="184" t="s">
        <v>816</v>
      </c>
      <c r="C37" s="494">
        <v>60</v>
      </c>
      <c r="D37" s="494">
        <v>0</v>
      </c>
      <c r="E37" s="494">
        <v>236</v>
      </c>
      <c r="F37" s="494">
        <v>0</v>
      </c>
      <c r="G37" s="494">
        <v>1</v>
      </c>
      <c r="H37" s="494">
        <v>0</v>
      </c>
      <c r="I37" s="494">
        <v>0</v>
      </c>
      <c r="J37" s="494">
        <v>0</v>
      </c>
      <c r="K37" s="494">
        <v>18</v>
      </c>
      <c r="L37" s="530">
        <v>0</v>
      </c>
      <c r="M37" s="64">
        <f t="shared" si="20"/>
        <v>315</v>
      </c>
      <c r="N37" s="75">
        <f t="shared" si="21"/>
        <v>0</v>
      </c>
      <c r="O37" s="493">
        <v>0</v>
      </c>
      <c r="Q37" s="26"/>
    </row>
    <row r="38" spans="1:18" x14ac:dyDescent="0.3">
      <c r="A38" s="47"/>
      <c r="B38" s="184" t="s">
        <v>812</v>
      </c>
      <c r="C38" s="77"/>
      <c r="D38" s="77"/>
      <c r="E38" s="77"/>
      <c r="F38" s="77"/>
      <c r="G38" s="77"/>
      <c r="H38" s="77"/>
      <c r="I38" s="77"/>
      <c r="J38" s="77"/>
      <c r="K38" s="77"/>
      <c r="L38" s="78"/>
      <c r="M38" s="79"/>
      <c r="N38" s="80"/>
      <c r="O38" s="81"/>
      <c r="Q38" s="26"/>
    </row>
    <row r="39" spans="1:18" x14ac:dyDescent="0.3">
      <c r="A39" s="47"/>
      <c r="B39" s="486" t="s">
        <v>815</v>
      </c>
      <c r="C39" s="527">
        <v>182</v>
      </c>
      <c r="D39" s="527">
        <v>4</v>
      </c>
      <c r="E39" s="527">
        <v>614</v>
      </c>
      <c r="F39" s="527">
        <v>2</v>
      </c>
      <c r="G39" s="527">
        <v>0</v>
      </c>
      <c r="H39" s="527">
        <v>0</v>
      </c>
      <c r="I39" s="527">
        <v>0</v>
      </c>
      <c r="J39" s="527">
        <v>0</v>
      </c>
      <c r="K39" s="527">
        <v>46</v>
      </c>
      <c r="L39" s="528">
        <v>1</v>
      </c>
      <c r="M39" s="441">
        <f t="shared" si="20"/>
        <v>842</v>
      </c>
      <c r="N39" s="442">
        <f t="shared" si="21"/>
        <v>7</v>
      </c>
      <c r="O39" s="529">
        <v>0</v>
      </c>
      <c r="Q39" s="26"/>
    </row>
    <row r="40" spans="1:18" x14ac:dyDescent="0.3">
      <c r="A40" s="47"/>
      <c r="B40" s="184" t="s">
        <v>224</v>
      </c>
      <c r="C40" s="494">
        <v>1</v>
      </c>
      <c r="D40" s="494">
        <v>0</v>
      </c>
      <c r="E40" s="494">
        <v>55</v>
      </c>
      <c r="F40" s="494">
        <v>0</v>
      </c>
      <c r="G40" s="494">
        <v>0</v>
      </c>
      <c r="H40" s="494">
        <v>0</v>
      </c>
      <c r="I40" s="494">
        <v>1</v>
      </c>
      <c r="J40" s="494">
        <v>0</v>
      </c>
      <c r="K40" s="494">
        <v>0</v>
      </c>
      <c r="L40" s="530">
        <v>0</v>
      </c>
      <c r="M40" s="441">
        <f t="shared" si="20"/>
        <v>57</v>
      </c>
      <c r="N40" s="442">
        <f t="shared" si="21"/>
        <v>0</v>
      </c>
      <c r="O40" s="493">
        <v>0</v>
      </c>
      <c r="Q40" s="26"/>
    </row>
    <row r="41" spans="1:18" x14ac:dyDescent="0.3">
      <c r="A41" s="47"/>
      <c r="B41" s="184" t="s">
        <v>817</v>
      </c>
      <c r="C41" s="77"/>
      <c r="D41" s="77"/>
      <c r="E41" s="77"/>
      <c r="F41" s="77"/>
      <c r="G41" s="77"/>
      <c r="H41" s="77"/>
      <c r="I41" s="77"/>
      <c r="J41" s="77"/>
      <c r="K41" s="77"/>
      <c r="L41" s="78"/>
      <c r="M41" s="79"/>
      <c r="N41" s="80"/>
      <c r="O41" s="81"/>
      <c r="Q41" s="26"/>
    </row>
    <row r="42" spans="1:18" x14ac:dyDescent="0.3">
      <c r="A42" s="47"/>
      <c r="B42" s="421" t="s">
        <v>654</v>
      </c>
      <c r="C42" s="527">
        <v>1064</v>
      </c>
      <c r="D42" s="527">
        <v>6</v>
      </c>
      <c r="E42" s="527">
        <v>537</v>
      </c>
      <c r="F42" s="527">
        <v>2</v>
      </c>
      <c r="G42" s="527">
        <v>4</v>
      </c>
      <c r="H42" s="527">
        <v>0</v>
      </c>
      <c r="I42" s="527">
        <v>2</v>
      </c>
      <c r="J42" s="527">
        <v>0</v>
      </c>
      <c r="K42" s="527">
        <v>48</v>
      </c>
      <c r="L42" s="528">
        <v>1</v>
      </c>
      <c r="M42" s="441">
        <f>SUM(C42,E42,G42,I42,K42)</f>
        <v>1655</v>
      </c>
      <c r="N42" s="442">
        <f>SUM(D42,F42,H42,J42,L42)</f>
        <v>9</v>
      </c>
      <c r="O42" s="529">
        <v>2</v>
      </c>
      <c r="P42" s="188"/>
      <c r="Q42" s="407"/>
      <c r="R42" s="188"/>
    </row>
    <row r="43" spans="1:18" x14ac:dyDescent="0.3">
      <c r="A43" s="47"/>
      <c r="B43" s="184" t="s">
        <v>653</v>
      </c>
      <c r="C43" s="527">
        <v>213</v>
      </c>
      <c r="D43" s="527">
        <v>1</v>
      </c>
      <c r="E43" s="527">
        <v>249</v>
      </c>
      <c r="F43" s="527">
        <v>3</v>
      </c>
      <c r="G43" s="527">
        <v>0</v>
      </c>
      <c r="H43" s="527">
        <v>0</v>
      </c>
      <c r="I43" s="527">
        <v>2</v>
      </c>
      <c r="J43" s="527">
        <v>0</v>
      </c>
      <c r="K43" s="527">
        <v>18</v>
      </c>
      <c r="L43" s="528">
        <v>2</v>
      </c>
      <c r="M43" s="441">
        <f t="shared" si="20"/>
        <v>482</v>
      </c>
      <c r="N43" s="442">
        <f t="shared" si="21"/>
        <v>6</v>
      </c>
      <c r="O43" s="529">
        <v>2</v>
      </c>
      <c r="Q43" s="26"/>
    </row>
    <row r="44" spans="1:18" x14ac:dyDescent="0.3">
      <c r="A44" s="47"/>
      <c r="B44" s="184" t="s">
        <v>809</v>
      </c>
      <c r="C44" s="527">
        <v>212</v>
      </c>
      <c r="D44" s="527">
        <v>3</v>
      </c>
      <c r="E44" s="527">
        <v>192</v>
      </c>
      <c r="F44" s="527">
        <v>0</v>
      </c>
      <c r="G44" s="527">
        <v>0</v>
      </c>
      <c r="H44" s="527">
        <v>0</v>
      </c>
      <c r="I44" s="527">
        <v>0</v>
      </c>
      <c r="J44" s="527">
        <v>0</v>
      </c>
      <c r="K44" s="527">
        <v>16</v>
      </c>
      <c r="L44" s="528">
        <v>0</v>
      </c>
      <c r="M44" s="441">
        <f t="shared" si="20"/>
        <v>420</v>
      </c>
      <c r="N44" s="442">
        <f t="shared" si="21"/>
        <v>3</v>
      </c>
      <c r="O44" s="493">
        <v>0</v>
      </c>
      <c r="Q44" s="26"/>
    </row>
    <row r="45" spans="1:18" x14ac:dyDescent="0.3">
      <c r="A45" s="47"/>
      <c r="B45" s="184" t="s">
        <v>814</v>
      </c>
      <c r="C45" s="539">
        <v>78</v>
      </c>
      <c r="D45" s="527">
        <v>1</v>
      </c>
      <c r="E45" s="527">
        <v>186</v>
      </c>
      <c r="F45" s="527">
        <v>0</v>
      </c>
      <c r="G45" s="527">
        <v>0</v>
      </c>
      <c r="H45" s="527">
        <v>0</v>
      </c>
      <c r="I45" s="527">
        <v>3</v>
      </c>
      <c r="J45" s="527">
        <v>0</v>
      </c>
      <c r="K45" s="527">
        <v>13</v>
      </c>
      <c r="L45" s="528">
        <v>0</v>
      </c>
      <c r="M45" s="441">
        <f t="shared" ref="M45:N45" si="22">SUM(C45,E45,G45,I45,K45)</f>
        <v>280</v>
      </c>
      <c r="N45" s="442">
        <f t="shared" si="22"/>
        <v>1</v>
      </c>
      <c r="O45" s="493">
        <v>0</v>
      </c>
      <c r="Q45" s="26"/>
    </row>
    <row r="46" spans="1:18" x14ac:dyDescent="0.3">
      <c r="A46" s="47"/>
      <c r="B46" s="421" t="s">
        <v>808</v>
      </c>
      <c r="C46" s="73"/>
      <c r="D46" s="73"/>
      <c r="E46" s="73"/>
      <c r="F46" s="73"/>
      <c r="G46" s="73"/>
      <c r="H46" s="73"/>
      <c r="I46" s="73"/>
      <c r="J46" s="73"/>
      <c r="K46" s="73"/>
      <c r="L46" s="76"/>
      <c r="M46" s="73"/>
      <c r="N46" s="76"/>
      <c r="O46" s="73"/>
      <c r="Q46" s="26"/>
    </row>
    <row r="47" spans="1:18" x14ac:dyDescent="0.3">
      <c r="A47" s="47"/>
      <c r="B47" s="83" t="s">
        <v>270</v>
      </c>
      <c r="C47" s="65">
        <f>C31-SUM(C34,C35)</f>
        <v>61593</v>
      </c>
      <c r="D47" s="65">
        <f t="shared" ref="D47:O47" si="23">D31-SUM(D34,D35)</f>
        <v>501</v>
      </c>
      <c r="E47" s="65">
        <f t="shared" si="23"/>
        <v>41437</v>
      </c>
      <c r="F47" s="65">
        <f t="shared" si="23"/>
        <v>160</v>
      </c>
      <c r="G47" s="65">
        <f t="shared" si="23"/>
        <v>157</v>
      </c>
      <c r="H47" s="65">
        <f t="shared" si="23"/>
        <v>17</v>
      </c>
      <c r="I47" s="65">
        <f t="shared" si="23"/>
        <v>152</v>
      </c>
      <c r="J47" s="65">
        <f t="shared" si="23"/>
        <v>2</v>
      </c>
      <c r="K47" s="65">
        <f t="shared" si="23"/>
        <v>4729</v>
      </c>
      <c r="L47" s="74">
        <f t="shared" si="23"/>
        <v>48</v>
      </c>
      <c r="M47" s="65">
        <f t="shared" si="23"/>
        <v>108068</v>
      </c>
      <c r="N47" s="74">
        <f t="shared" si="23"/>
        <v>728</v>
      </c>
      <c r="O47" s="65">
        <f t="shared" si="23"/>
        <v>163</v>
      </c>
      <c r="P47" s="28"/>
      <c r="Q47" s="185">
        <f>N47-O47</f>
        <v>565</v>
      </c>
    </row>
    <row r="48" spans="1:18" ht="7.25" customHeight="1" x14ac:dyDescent="0.3">
      <c r="A48" s="47"/>
      <c r="B48" s="48"/>
      <c r="C48" s="48"/>
      <c r="D48" s="67"/>
      <c r="E48" s="34"/>
      <c r="F48" s="34"/>
      <c r="G48" s="34"/>
      <c r="H48" s="34"/>
      <c r="I48" s="34"/>
      <c r="J48" s="34"/>
      <c r="K48" s="34"/>
      <c r="L48" s="34"/>
      <c r="M48" s="34"/>
      <c r="N48" s="48"/>
      <c r="O48" s="48"/>
      <c r="P48" s="48"/>
      <c r="Q48" s="404"/>
    </row>
    <row r="49" spans="1:18" ht="14" customHeight="1" x14ac:dyDescent="0.3">
      <c r="A49" s="47"/>
      <c r="B49" s="1144" t="s">
        <v>652</v>
      </c>
      <c r="C49" s="1130" t="s">
        <v>259</v>
      </c>
      <c r="D49" s="1131"/>
      <c r="E49" s="1129" t="s">
        <v>260</v>
      </c>
      <c r="F49" s="1129"/>
      <c r="G49" s="1129" t="s">
        <v>261</v>
      </c>
      <c r="H49" s="1129"/>
      <c r="I49" s="1129" t="s">
        <v>262</v>
      </c>
      <c r="J49" s="1129"/>
      <c r="K49" s="1129" t="s">
        <v>684</v>
      </c>
      <c r="L49" s="1135"/>
      <c r="M49" s="1134" t="s">
        <v>690</v>
      </c>
      <c r="N49" s="1119" t="s">
        <v>263</v>
      </c>
      <c r="O49" s="1132" t="s">
        <v>264</v>
      </c>
      <c r="P49" s="169"/>
      <c r="Q49" s="1132" t="s">
        <v>265</v>
      </c>
    </row>
    <row r="50" spans="1:18" x14ac:dyDescent="0.3">
      <c r="A50" s="47"/>
      <c r="B50" s="1145">
        <v>2017</v>
      </c>
      <c r="C50" s="383" t="s">
        <v>266</v>
      </c>
      <c r="D50" s="383" t="s">
        <v>267</v>
      </c>
      <c r="E50" s="383" t="s">
        <v>266</v>
      </c>
      <c r="F50" s="383" t="s">
        <v>267</v>
      </c>
      <c r="G50" s="383" t="s">
        <v>266</v>
      </c>
      <c r="H50" s="383" t="s">
        <v>267</v>
      </c>
      <c r="I50" s="383" t="s">
        <v>266</v>
      </c>
      <c r="J50" s="383" t="s">
        <v>267</v>
      </c>
      <c r="K50" s="383" t="s">
        <v>266</v>
      </c>
      <c r="L50" s="382" t="s">
        <v>267</v>
      </c>
      <c r="M50" s="1124"/>
      <c r="N50" s="1120"/>
      <c r="O50" s="1133"/>
      <c r="P50" s="167"/>
      <c r="Q50" s="1133"/>
    </row>
    <row r="51" spans="1:18" x14ac:dyDescent="0.3">
      <c r="A51" s="47"/>
      <c r="B51" s="72" t="s">
        <v>787</v>
      </c>
      <c r="C51" s="179">
        <f>SUM(C52:C53)</f>
        <v>63667</v>
      </c>
      <c r="D51" s="180">
        <f t="shared" ref="D51" si="24">SUM(D52:D53)</f>
        <v>745</v>
      </c>
      <c r="E51" s="180">
        <f t="shared" ref="E51" si="25">SUM(E52:E53)</f>
        <v>46257</v>
      </c>
      <c r="F51" s="180">
        <f t="shared" ref="F51" si="26">SUM(F52:F53)</f>
        <v>281</v>
      </c>
      <c r="G51" s="180">
        <f t="shared" ref="G51" si="27">SUM(G52:G53)</f>
        <v>267</v>
      </c>
      <c r="H51" s="180">
        <f t="shared" ref="H51" si="28">SUM(H52:H53)</f>
        <v>42</v>
      </c>
      <c r="I51" s="180">
        <f t="shared" ref="I51" si="29">SUM(I52:I53)</f>
        <v>362</v>
      </c>
      <c r="J51" s="180">
        <f t="shared" ref="J51" si="30">SUM(J52:J53)</f>
        <v>3</v>
      </c>
      <c r="K51" s="180">
        <f t="shared" ref="K51" si="31">SUM(K52:K53)</f>
        <v>5115</v>
      </c>
      <c r="L51" s="181">
        <f t="shared" ref="L51" si="32">SUM(L52:L53)</f>
        <v>55</v>
      </c>
      <c r="M51" s="182">
        <f t="shared" ref="M51" si="33">SUM(M52:M53)</f>
        <v>115668</v>
      </c>
      <c r="N51" s="183">
        <f t="shared" ref="N51" si="34">SUM(N52:N53)</f>
        <v>1126</v>
      </c>
      <c r="O51" s="84">
        <f>SUM(O52:O53)</f>
        <v>189</v>
      </c>
      <c r="P51" s="35"/>
      <c r="Q51" s="408"/>
    </row>
    <row r="52" spans="1:18" x14ac:dyDescent="0.3">
      <c r="A52" s="47"/>
      <c r="B52" s="484" t="s">
        <v>268</v>
      </c>
      <c r="C52" s="538">
        <v>63008</v>
      </c>
      <c r="D52" s="531">
        <v>739</v>
      </c>
      <c r="E52" s="531">
        <v>45506</v>
      </c>
      <c r="F52" s="531">
        <v>275</v>
      </c>
      <c r="G52" s="531">
        <v>260</v>
      </c>
      <c r="H52" s="531">
        <v>41</v>
      </c>
      <c r="I52" s="531">
        <v>360</v>
      </c>
      <c r="J52" s="531">
        <v>3</v>
      </c>
      <c r="K52" s="531">
        <v>5016</v>
      </c>
      <c r="L52" s="532">
        <v>53</v>
      </c>
      <c r="M52" s="525">
        <f t="shared" ref="M52" si="35">SUM(C52,E52,G52,I52,K52)</f>
        <v>114150</v>
      </c>
      <c r="N52" s="183">
        <f t="shared" ref="N52" si="36">SUM(D52,F52,H52,J52,L52)</f>
        <v>1111</v>
      </c>
      <c r="O52" s="611">
        <f>H134</f>
        <v>185</v>
      </c>
      <c r="Q52" s="26"/>
      <c r="R52" t="s">
        <v>860</v>
      </c>
    </row>
    <row r="53" spans="1:18" s="170" customFormat="1" ht="25" x14ac:dyDescent="0.3">
      <c r="A53" s="422"/>
      <c r="B53" s="526" t="s">
        <v>861</v>
      </c>
      <c r="C53" s="467">
        <f t="shared" ref="C53:L53" si="37">ROUNDUP(C73/3,0)</f>
        <v>659</v>
      </c>
      <c r="D53" s="467">
        <f t="shared" si="37"/>
        <v>6</v>
      </c>
      <c r="E53" s="467">
        <f t="shared" si="37"/>
        <v>751</v>
      </c>
      <c r="F53" s="467">
        <f t="shared" si="37"/>
        <v>6</v>
      </c>
      <c r="G53" s="467">
        <f t="shared" si="37"/>
        <v>7</v>
      </c>
      <c r="H53" s="467">
        <f t="shared" si="37"/>
        <v>1</v>
      </c>
      <c r="I53" s="467">
        <f t="shared" si="37"/>
        <v>2</v>
      </c>
      <c r="J53" s="467">
        <f t="shared" si="37"/>
        <v>0</v>
      </c>
      <c r="K53" s="467">
        <f t="shared" si="37"/>
        <v>99</v>
      </c>
      <c r="L53" s="467">
        <f t="shared" si="37"/>
        <v>2</v>
      </c>
      <c r="M53" s="534">
        <f>SUM(C53,E53,G53,I53,K53)</f>
        <v>1518</v>
      </c>
      <c r="N53" s="524">
        <f t="shared" ref="M53:N54" si="38">SUM(D53,F53,H53,J53,L53)</f>
        <v>15</v>
      </c>
      <c r="O53" s="467">
        <f>ROUNDUP(O73/3,0)</f>
        <v>4</v>
      </c>
      <c r="Q53" s="306"/>
      <c r="R53" s="507"/>
    </row>
    <row r="54" spans="1:18" x14ac:dyDescent="0.3">
      <c r="A54" s="47"/>
      <c r="B54" s="71" t="s">
        <v>272</v>
      </c>
      <c r="C54" s="494">
        <v>4582</v>
      </c>
      <c r="D54" s="494">
        <v>114</v>
      </c>
      <c r="E54" s="494">
        <v>3535</v>
      </c>
      <c r="F54" s="494">
        <v>83</v>
      </c>
      <c r="G54" s="494">
        <v>124</v>
      </c>
      <c r="H54" s="494">
        <v>25</v>
      </c>
      <c r="I54" s="494">
        <v>222</v>
      </c>
      <c r="J54" s="494">
        <v>3</v>
      </c>
      <c r="K54" s="494">
        <v>334</v>
      </c>
      <c r="L54" s="530">
        <v>5</v>
      </c>
      <c r="M54" s="64">
        <f t="shared" si="38"/>
        <v>8797</v>
      </c>
      <c r="N54" s="75">
        <f t="shared" si="38"/>
        <v>230</v>
      </c>
      <c r="O54" s="493">
        <v>19</v>
      </c>
      <c r="Q54" s="406">
        <f>N54-O54</f>
        <v>211</v>
      </c>
    </row>
    <row r="55" spans="1:18" x14ac:dyDescent="0.3">
      <c r="A55" s="47"/>
      <c r="B55" s="71" t="s">
        <v>804</v>
      </c>
      <c r="C55" s="63">
        <f t="shared" ref="C55:L55" si="39">SUM(C56:C65)</f>
        <v>1333</v>
      </c>
      <c r="D55" s="63">
        <f t="shared" si="39"/>
        <v>31</v>
      </c>
      <c r="E55" s="63">
        <f t="shared" si="39"/>
        <v>1641</v>
      </c>
      <c r="F55" s="63">
        <f t="shared" si="39"/>
        <v>6</v>
      </c>
      <c r="G55" s="63">
        <f t="shared" si="39"/>
        <v>2</v>
      </c>
      <c r="H55" s="63">
        <f t="shared" si="39"/>
        <v>0</v>
      </c>
      <c r="I55" s="63">
        <f t="shared" si="39"/>
        <v>16</v>
      </c>
      <c r="J55" s="63">
        <f t="shared" si="39"/>
        <v>0</v>
      </c>
      <c r="K55" s="63">
        <f t="shared" si="39"/>
        <v>186</v>
      </c>
      <c r="L55" s="63">
        <f t="shared" si="39"/>
        <v>3</v>
      </c>
      <c r="M55" s="85">
        <f t="shared" ref="M55" si="40">SUM(C55,E55,G55,I55,K55)</f>
        <v>3178</v>
      </c>
      <c r="N55" s="75">
        <f>SUM(D55,F55,H55,J55,L55)</f>
        <v>40</v>
      </c>
      <c r="O55" s="70">
        <f>SUM(O56:O65)</f>
        <v>3</v>
      </c>
      <c r="Q55" s="26"/>
    </row>
    <row r="56" spans="1:18" x14ac:dyDescent="0.3">
      <c r="A56" s="47"/>
      <c r="B56" s="184" t="s">
        <v>803</v>
      </c>
      <c r="C56" s="494">
        <v>29</v>
      </c>
      <c r="D56" s="494">
        <v>0</v>
      </c>
      <c r="E56" s="494">
        <v>44</v>
      </c>
      <c r="F56" s="494">
        <v>0</v>
      </c>
      <c r="G56" s="494">
        <v>0</v>
      </c>
      <c r="H56" s="494">
        <v>0</v>
      </c>
      <c r="I56" s="494">
        <v>0</v>
      </c>
      <c r="J56" s="494">
        <v>0</v>
      </c>
      <c r="K56" s="494">
        <v>1</v>
      </c>
      <c r="L56" s="530">
        <v>0</v>
      </c>
      <c r="M56" s="64">
        <f t="shared" ref="M56:M65" si="41">SUM(C56,E56,G56,I56,K56)</f>
        <v>74</v>
      </c>
      <c r="N56" s="75">
        <f t="shared" ref="N56:N65" si="42">SUM(D56,F56,H56,J56,L56)</f>
        <v>0</v>
      </c>
      <c r="O56" s="493">
        <v>0</v>
      </c>
      <c r="Q56" s="26"/>
    </row>
    <row r="57" spans="1:18" x14ac:dyDescent="0.3">
      <c r="A57" s="47"/>
      <c r="B57" s="184" t="s">
        <v>811</v>
      </c>
      <c r="C57" s="494">
        <v>85</v>
      </c>
      <c r="D57" s="494">
        <v>0</v>
      </c>
      <c r="E57" s="494">
        <v>129</v>
      </c>
      <c r="F57" s="494">
        <v>0</v>
      </c>
      <c r="G57" s="494">
        <v>0</v>
      </c>
      <c r="H57" s="494">
        <v>0</v>
      </c>
      <c r="I57" s="494">
        <v>1</v>
      </c>
      <c r="J57" s="494">
        <v>0</v>
      </c>
      <c r="K57" s="494">
        <v>10</v>
      </c>
      <c r="L57" s="530">
        <v>0</v>
      </c>
      <c r="M57" s="64">
        <f t="shared" si="41"/>
        <v>225</v>
      </c>
      <c r="N57" s="75">
        <f t="shared" si="42"/>
        <v>0</v>
      </c>
      <c r="O57" s="493">
        <v>0</v>
      </c>
      <c r="Q57" s="26"/>
    </row>
    <row r="58" spans="1:18" x14ac:dyDescent="0.3">
      <c r="A58" s="47"/>
      <c r="B58" s="184" t="s">
        <v>812</v>
      </c>
      <c r="C58" s="77"/>
      <c r="D58" s="77"/>
      <c r="E58" s="77"/>
      <c r="F58" s="77"/>
      <c r="G58" s="77"/>
      <c r="H58" s="77"/>
      <c r="I58" s="77"/>
      <c r="J58" s="77"/>
      <c r="K58" s="77"/>
      <c r="L58" s="78"/>
      <c r="M58" s="79"/>
      <c r="N58" s="80"/>
      <c r="O58" s="81"/>
      <c r="Q58" s="26"/>
    </row>
    <row r="59" spans="1:18" x14ac:dyDescent="0.3">
      <c r="A59" s="47"/>
      <c r="B59" s="486" t="s">
        <v>815</v>
      </c>
      <c r="C59" s="527">
        <v>251</v>
      </c>
      <c r="D59" s="527">
        <v>6</v>
      </c>
      <c r="E59" s="527">
        <v>449</v>
      </c>
      <c r="F59" s="527">
        <v>3</v>
      </c>
      <c r="G59" s="527">
        <v>0</v>
      </c>
      <c r="H59" s="527">
        <v>0</v>
      </c>
      <c r="I59" s="527">
        <v>0</v>
      </c>
      <c r="J59" s="527">
        <v>0</v>
      </c>
      <c r="K59" s="527">
        <v>15</v>
      </c>
      <c r="L59" s="528">
        <v>0</v>
      </c>
      <c r="M59" s="64">
        <f t="shared" si="41"/>
        <v>715</v>
      </c>
      <c r="N59" s="75">
        <f t="shared" si="42"/>
        <v>9</v>
      </c>
      <c r="O59" s="529">
        <v>1</v>
      </c>
      <c r="Q59" s="26"/>
    </row>
    <row r="60" spans="1:18" x14ac:dyDescent="0.3">
      <c r="A60" s="47"/>
      <c r="B60" s="184" t="s">
        <v>224</v>
      </c>
      <c r="C60" s="527">
        <v>5</v>
      </c>
      <c r="D60" s="527">
        <v>0</v>
      </c>
      <c r="E60" s="527">
        <v>51</v>
      </c>
      <c r="F60" s="527">
        <v>0</v>
      </c>
      <c r="G60" s="527">
        <v>0</v>
      </c>
      <c r="H60" s="527">
        <v>0</v>
      </c>
      <c r="I60" s="527">
        <v>0</v>
      </c>
      <c r="J60" s="527">
        <v>0</v>
      </c>
      <c r="K60" s="527">
        <v>6</v>
      </c>
      <c r="L60" s="528">
        <v>0</v>
      </c>
      <c r="M60" s="64">
        <f t="shared" si="41"/>
        <v>62</v>
      </c>
      <c r="N60" s="75">
        <f t="shared" si="42"/>
        <v>0</v>
      </c>
      <c r="O60" s="493">
        <v>0</v>
      </c>
      <c r="Q60" s="26"/>
    </row>
    <row r="61" spans="1:18" x14ac:dyDescent="0.3">
      <c r="A61" s="47"/>
      <c r="B61" s="184" t="s">
        <v>817</v>
      </c>
      <c r="C61" s="527">
        <v>285</v>
      </c>
      <c r="D61" s="527">
        <v>6</v>
      </c>
      <c r="E61" s="527">
        <v>204</v>
      </c>
      <c r="F61" s="527">
        <v>2</v>
      </c>
      <c r="G61" s="527">
        <v>1</v>
      </c>
      <c r="H61" s="527">
        <v>0</v>
      </c>
      <c r="I61" s="527">
        <v>1</v>
      </c>
      <c r="J61" s="527">
        <v>0</v>
      </c>
      <c r="K61" s="527">
        <v>62</v>
      </c>
      <c r="L61" s="528">
        <v>0</v>
      </c>
      <c r="M61" s="64">
        <f t="shared" si="41"/>
        <v>553</v>
      </c>
      <c r="N61" s="75">
        <f t="shared" si="42"/>
        <v>8</v>
      </c>
      <c r="O61" s="493">
        <v>0</v>
      </c>
      <c r="Q61" s="26"/>
    </row>
    <row r="62" spans="1:18" x14ac:dyDescent="0.3">
      <c r="A62" s="47"/>
      <c r="B62" s="421" t="s">
        <v>765</v>
      </c>
      <c r="C62" s="527">
        <v>177</v>
      </c>
      <c r="D62" s="527">
        <v>7</v>
      </c>
      <c r="E62" s="527">
        <v>385</v>
      </c>
      <c r="F62" s="527">
        <v>1</v>
      </c>
      <c r="G62" s="527">
        <v>1</v>
      </c>
      <c r="H62" s="527">
        <v>0</v>
      </c>
      <c r="I62" s="527">
        <v>1</v>
      </c>
      <c r="J62" s="527">
        <v>0</v>
      </c>
      <c r="K62" s="527">
        <v>31</v>
      </c>
      <c r="L62" s="528">
        <v>1</v>
      </c>
      <c r="M62" s="64">
        <f t="shared" si="41"/>
        <v>595</v>
      </c>
      <c r="N62" s="75">
        <f t="shared" si="42"/>
        <v>9</v>
      </c>
      <c r="O62" s="529">
        <v>2</v>
      </c>
      <c r="P62" s="188"/>
      <c r="Q62" s="407"/>
      <c r="R62" s="188"/>
    </row>
    <row r="63" spans="1:18" x14ac:dyDescent="0.3">
      <c r="A63" s="47"/>
      <c r="B63" s="184" t="s">
        <v>653</v>
      </c>
      <c r="C63" s="527">
        <v>329</v>
      </c>
      <c r="D63" s="527">
        <v>6</v>
      </c>
      <c r="E63" s="527">
        <v>229</v>
      </c>
      <c r="F63" s="527">
        <v>0</v>
      </c>
      <c r="G63" s="527">
        <v>0</v>
      </c>
      <c r="H63" s="527">
        <v>0</v>
      </c>
      <c r="I63" s="527">
        <v>10</v>
      </c>
      <c r="J63" s="527">
        <v>0</v>
      </c>
      <c r="K63" s="527">
        <v>32</v>
      </c>
      <c r="L63" s="528">
        <v>0</v>
      </c>
      <c r="M63" s="64">
        <f t="shared" si="41"/>
        <v>600</v>
      </c>
      <c r="N63" s="75">
        <f t="shared" si="42"/>
        <v>6</v>
      </c>
      <c r="O63" s="493">
        <v>0</v>
      </c>
      <c r="Q63" s="26"/>
    </row>
    <row r="64" spans="1:18" x14ac:dyDescent="0.3">
      <c r="A64" s="47"/>
      <c r="B64" s="184" t="s">
        <v>810</v>
      </c>
      <c r="C64" s="77"/>
      <c r="D64" s="77"/>
      <c r="E64" s="77"/>
      <c r="F64" s="77"/>
      <c r="G64" s="77"/>
      <c r="H64" s="77"/>
      <c r="I64" s="77"/>
      <c r="J64" s="77"/>
      <c r="K64" s="77"/>
      <c r="L64" s="78"/>
      <c r="M64" s="79"/>
      <c r="N64" s="80"/>
      <c r="O64" s="81"/>
      <c r="Q64" s="26"/>
    </row>
    <row r="65" spans="1:23" x14ac:dyDescent="0.3">
      <c r="A65" s="47"/>
      <c r="B65" s="184" t="s">
        <v>814</v>
      </c>
      <c r="C65" s="494">
        <v>172</v>
      </c>
      <c r="D65" s="494">
        <v>6</v>
      </c>
      <c r="E65" s="494">
        <v>150</v>
      </c>
      <c r="F65" s="494">
        <v>0</v>
      </c>
      <c r="G65" s="494">
        <v>0</v>
      </c>
      <c r="H65" s="494">
        <v>0</v>
      </c>
      <c r="I65" s="494">
        <v>3</v>
      </c>
      <c r="J65" s="494">
        <v>0</v>
      </c>
      <c r="K65" s="494">
        <v>29</v>
      </c>
      <c r="L65" s="530">
        <v>2</v>
      </c>
      <c r="M65" s="64">
        <f t="shared" si="41"/>
        <v>354</v>
      </c>
      <c r="N65" s="75">
        <f t="shared" si="42"/>
        <v>8</v>
      </c>
      <c r="O65" s="493">
        <v>0</v>
      </c>
      <c r="Q65" s="26"/>
    </row>
    <row r="66" spans="1:23" x14ac:dyDescent="0.3">
      <c r="A66" s="47"/>
      <c r="B66" s="421" t="s">
        <v>813</v>
      </c>
      <c r="C66" s="73"/>
      <c r="D66" s="73"/>
      <c r="E66" s="73"/>
      <c r="F66" s="73"/>
      <c r="G66" s="73"/>
      <c r="H66" s="73"/>
      <c r="I66" s="73"/>
      <c r="J66" s="73"/>
      <c r="K66" s="73"/>
      <c r="L66" s="76"/>
      <c r="M66" s="73"/>
      <c r="N66" s="76"/>
      <c r="O66" s="73"/>
      <c r="Q66" s="26"/>
    </row>
    <row r="67" spans="1:23" x14ac:dyDescent="0.3">
      <c r="A67" s="47"/>
      <c r="B67" s="83" t="s">
        <v>270</v>
      </c>
      <c r="C67" s="65">
        <f>C51-SUM(C54:C55)</f>
        <v>57752</v>
      </c>
      <c r="D67" s="65">
        <f>D51-SUM(D54:D55)</f>
        <v>600</v>
      </c>
      <c r="E67" s="65">
        <f t="shared" ref="E67:M67" si="43">E51-SUM(E54:E55)</f>
        <v>41081</v>
      </c>
      <c r="F67" s="65">
        <f t="shared" si="43"/>
        <v>192</v>
      </c>
      <c r="G67" s="65">
        <f t="shared" si="43"/>
        <v>141</v>
      </c>
      <c r="H67" s="65">
        <f t="shared" si="43"/>
        <v>17</v>
      </c>
      <c r="I67" s="65">
        <f t="shared" si="43"/>
        <v>124</v>
      </c>
      <c r="J67" s="65">
        <f t="shared" si="43"/>
        <v>0</v>
      </c>
      <c r="K67" s="65">
        <f t="shared" si="43"/>
        <v>4595</v>
      </c>
      <c r="L67" s="74">
        <f t="shared" si="43"/>
        <v>47</v>
      </c>
      <c r="M67" s="65">
        <f t="shared" si="43"/>
        <v>103693</v>
      </c>
      <c r="N67" s="65">
        <f>N51-SUM(N54:N55)</f>
        <v>856</v>
      </c>
      <c r="O67" s="65">
        <f>O51-SUM(O54,O55)</f>
        <v>167</v>
      </c>
      <c r="P67" s="28"/>
      <c r="Q67" s="185">
        <f>N67-O67</f>
        <v>689</v>
      </c>
    </row>
    <row r="68" spans="1:23" x14ac:dyDescent="0.3">
      <c r="A68" s="47"/>
      <c r="B68" s="34"/>
      <c r="C68" s="34"/>
      <c r="D68" s="34"/>
      <c r="E68" s="34"/>
      <c r="F68" s="34"/>
      <c r="G68" s="34"/>
      <c r="H68" s="34"/>
      <c r="I68" s="34"/>
      <c r="J68" s="34"/>
      <c r="K68" s="34"/>
      <c r="L68" s="34"/>
      <c r="M68" s="34"/>
      <c r="N68" s="34"/>
      <c r="O68" s="34"/>
      <c r="P68" s="34"/>
      <c r="Q68" s="400"/>
    </row>
    <row r="69" spans="1:23" ht="21" customHeight="1" x14ac:dyDescent="0.3">
      <c r="A69" s="1125" t="s">
        <v>862</v>
      </c>
      <c r="B69" s="1126"/>
      <c r="C69" s="1129" t="s">
        <v>259</v>
      </c>
      <c r="D69" s="1129"/>
      <c r="E69" s="1130" t="s">
        <v>260</v>
      </c>
      <c r="F69" s="1119"/>
      <c r="G69" s="1129" t="s">
        <v>261</v>
      </c>
      <c r="H69" s="1129"/>
      <c r="I69" s="1130" t="s">
        <v>262</v>
      </c>
      <c r="J69" s="1131"/>
      <c r="K69" s="1130" t="s">
        <v>684</v>
      </c>
      <c r="L69" s="1119"/>
      <c r="M69" s="1134" t="s">
        <v>690</v>
      </c>
      <c r="N69" s="1119" t="s">
        <v>263</v>
      </c>
      <c r="O69" s="1134" t="s">
        <v>264</v>
      </c>
      <c r="P69" s="23"/>
      <c r="Q69" s="1121" t="s">
        <v>265</v>
      </c>
    </row>
    <row r="70" spans="1:23" x14ac:dyDescent="0.3">
      <c r="A70" s="1127"/>
      <c r="B70" s="1128"/>
      <c r="C70" s="508" t="s">
        <v>266</v>
      </c>
      <c r="D70" s="123" t="s">
        <v>267</v>
      </c>
      <c r="E70" s="508" t="s">
        <v>266</v>
      </c>
      <c r="F70" s="509" t="s">
        <v>267</v>
      </c>
      <c r="G70" s="123" t="s">
        <v>266</v>
      </c>
      <c r="H70" s="509" t="s">
        <v>267</v>
      </c>
      <c r="I70" s="123" t="s">
        <v>266</v>
      </c>
      <c r="J70" s="509" t="s">
        <v>267</v>
      </c>
      <c r="K70" s="123" t="s">
        <v>266</v>
      </c>
      <c r="L70" s="509" t="s">
        <v>267</v>
      </c>
      <c r="M70" s="1124"/>
      <c r="N70" s="1120"/>
      <c r="O70" s="1124"/>
      <c r="P70" s="122"/>
      <c r="Q70" s="1124"/>
    </row>
    <row r="71" spans="1:23" x14ac:dyDescent="0.3">
      <c r="A71" s="8"/>
      <c r="B71" s="522" t="s">
        <v>685</v>
      </c>
      <c r="C71" s="494">
        <v>1244</v>
      </c>
      <c r="D71" s="494">
        <v>8</v>
      </c>
      <c r="E71" s="494">
        <v>687</v>
      </c>
      <c r="F71" s="494">
        <v>5</v>
      </c>
      <c r="G71" s="494">
        <v>18</v>
      </c>
      <c r="H71" s="494">
        <v>0</v>
      </c>
      <c r="I71" s="494">
        <v>6</v>
      </c>
      <c r="J71" s="494">
        <v>0</v>
      </c>
      <c r="K71" s="494">
        <v>85</v>
      </c>
      <c r="L71" s="530">
        <v>0</v>
      </c>
      <c r="M71" s="64">
        <f>SUM(C71,E71,G71,I71,K71)</f>
        <v>2040</v>
      </c>
      <c r="N71" s="183">
        <f>SUM(D71,F71,H71,J71,L71)</f>
        <v>13</v>
      </c>
      <c r="O71" s="494">
        <v>3</v>
      </c>
      <c r="P71" s="8"/>
      <c r="Q71" s="429">
        <f>N71-O71</f>
        <v>10</v>
      </c>
      <c r="R71" s="53"/>
      <c r="S71" s="8"/>
      <c r="T71" s="8"/>
      <c r="U71" s="8"/>
      <c r="V71" s="8"/>
      <c r="W71" s="8"/>
    </row>
    <row r="72" spans="1:23" x14ac:dyDescent="0.3">
      <c r="A72" s="8"/>
      <c r="B72" s="523" t="s">
        <v>686</v>
      </c>
      <c r="C72" s="494">
        <v>2515</v>
      </c>
      <c r="D72" s="494">
        <v>21</v>
      </c>
      <c r="E72" s="494">
        <v>757</v>
      </c>
      <c r="F72" s="494">
        <v>3</v>
      </c>
      <c r="G72" s="494">
        <v>13</v>
      </c>
      <c r="H72" s="494">
        <v>0</v>
      </c>
      <c r="I72" s="494">
        <v>9</v>
      </c>
      <c r="J72" s="494">
        <v>0</v>
      </c>
      <c r="K72" s="494">
        <v>82</v>
      </c>
      <c r="L72" s="530">
        <v>1</v>
      </c>
      <c r="M72" s="64">
        <f t="shared" ref="M72" si="44">SUM(C72,E72,G72,I72,K72)</f>
        <v>3376</v>
      </c>
      <c r="N72" s="75">
        <f t="shared" ref="N72" si="45">SUM(D72,F72,H72,J72,L72)</f>
        <v>25</v>
      </c>
      <c r="O72" s="494">
        <v>4</v>
      </c>
      <c r="P72" s="8"/>
      <c r="Q72" s="406">
        <f t="shared" ref="Q72:Q73" si="46">N72-O72</f>
        <v>21</v>
      </c>
      <c r="R72" s="53"/>
      <c r="S72" s="8"/>
      <c r="T72" s="8"/>
      <c r="U72" s="8"/>
      <c r="V72" s="8"/>
      <c r="W72" s="8"/>
    </row>
    <row r="73" spans="1:23" x14ac:dyDescent="0.3">
      <c r="A73" s="8"/>
      <c r="B73" s="523" t="s">
        <v>786</v>
      </c>
      <c r="C73" s="494">
        <v>1975</v>
      </c>
      <c r="D73" s="494">
        <v>17</v>
      </c>
      <c r="E73" s="494">
        <v>2252</v>
      </c>
      <c r="F73" s="494">
        <v>17</v>
      </c>
      <c r="G73" s="494">
        <v>19</v>
      </c>
      <c r="H73" s="494">
        <v>3</v>
      </c>
      <c r="I73" s="494">
        <v>4</v>
      </c>
      <c r="J73" s="494">
        <v>0</v>
      </c>
      <c r="K73" s="494">
        <v>295</v>
      </c>
      <c r="L73" s="530">
        <v>4</v>
      </c>
      <c r="M73" s="64">
        <f t="shared" ref="M73" si="47">SUM(C73,E73,G73,I73,K73)</f>
        <v>4545</v>
      </c>
      <c r="N73" s="75">
        <f t="shared" ref="N73" si="48">SUM(D73,F73,H73,J73,L73)</f>
        <v>41</v>
      </c>
      <c r="O73" s="494">
        <v>11</v>
      </c>
      <c r="P73" s="8"/>
      <c r="Q73" s="406">
        <f t="shared" si="46"/>
        <v>30</v>
      </c>
      <c r="R73" s="53"/>
      <c r="S73" s="8"/>
      <c r="T73" s="8"/>
      <c r="U73" s="8"/>
      <c r="V73" s="8"/>
      <c r="W73" s="8"/>
    </row>
    <row r="74" spans="1:23" x14ac:dyDescent="0.3">
      <c r="A74" s="35"/>
      <c r="B74" s="35"/>
      <c r="C74" s="35"/>
      <c r="D74" s="35"/>
      <c r="E74" s="35"/>
      <c r="F74" s="35"/>
      <c r="G74" s="35"/>
      <c r="H74" s="35"/>
      <c r="I74" s="35"/>
      <c r="J74" s="35"/>
      <c r="K74" s="35"/>
      <c r="L74" s="35"/>
      <c r="M74" s="35"/>
      <c r="N74" s="35"/>
      <c r="O74" s="35"/>
      <c r="P74" s="35"/>
      <c r="Q74" s="408"/>
    </row>
    <row r="75" spans="1:23" x14ac:dyDescent="0.3">
      <c r="A75" s="1148" t="s">
        <v>863</v>
      </c>
      <c r="B75" s="1149"/>
      <c r="C75" s="1124" t="s">
        <v>259</v>
      </c>
      <c r="D75" s="1124"/>
      <c r="E75" s="1124" t="s">
        <v>260</v>
      </c>
      <c r="F75" s="1124"/>
      <c r="G75" s="1124" t="s">
        <v>261</v>
      </c>
      <c r="H75" s="1124"/>
      <c r="I75" s="1124" t="s">
        <v>262</v>
      </c>
      <c r="J75" s="1124"/>
      <c r="K75" s="1124" t="s">
        <v>684</v>
      </c>
      <c r="L75" s="1120"/>
      <c r="M75" s="1117" t="s">
        <v>690</v>
      </c>
      <c r="N75" s="1119" t="s">
        <v>263</v>
      </c>
      <c r="O75" s="1117" t="s">
        <v>264</v>
      </c>
      <c r="Q75" s="1121" t="s">
        <v>265</v>
      </c>
    </row>
    <row r="76" spans="1:23" x14ac:dyDescent="0.3">
      <c r="A76" s="1150"/>
      <c r="B76" s="1151"/>
      <c r="C76" s="210" t="s">
        <v>266</v>
      </c>
      <c r="D76" s="385" t="s">
        <v>267</v>
      </c>
      <c r="E76" s="210" t="s">
        <v>266</v>
      </c>
      <c r="F76" s="168" t="s">
        <v>267</v>
      </c>
      <c r="G76" s="385" t="s">
        <v>266</v>
      </c>
      <c r="H76" s="168" t="s">
        <v>267</v>
      </c>
      <c r="I76" s="385" t="s">
        <v>266</v>
      </c>
      <c r="J76" s="168" t="s">
        <v>267</v>
      </c>
      <c r="K76" s="385" t="s">
        <v>266</v>
      </c>
      <c r="L76" s="168" t="s">
        <v>267</v>
      </c>
      <c r="M76" s="1118"/>
      <c r="N76" s="1120"/>
      <c r="O76" s="1118"/>
      <c r="P76" s="28"/>
      <c r="Q76" s="1122"/>
    </row>
    <row r="77" spans="1:23" x14ac:dyDescent="0.3">
      <c r="B77" s="496" t="s">
        <v>821</v>
      </c>
      <c r="C77" s="494">
        <v>2387</v>
      </c>
      <c r="D77" s="494">
        <v>46</v>
      </c>
      <c r="E77" s="494">
        <v>770</v>
      </c>
      <c r="F77" s="494">
        <v>8</v>
      </c>
      <c r="G77" s="494">
        <v>29</v>
      </c>
      <c r="H77" s="494">
        <v>0</v>
      </c>
      <c r="I77" s="494">
        <v>68</v>
      </c>
      <c r="J77" s="494">
        <v>1</v>
      </c>
      <c r="K77" s="494">
        <v>23</v>
      </c>
      <c r="L77" s="530">
        <v>1</v>
      </c>
      <c r="M77" s="64">
        <f t="shared" ref="M77:N79" si="49">SUM(C77,E77,G77,I77,K77)</f>
        <v>3277</v>
      </c>
      <c r="N77" s="75">
        <f t="shared" si="49"/>
        <v>56</v>
      </c>
      <c r="O77" s="494">
        <f>C143</f>
        <v>8</v>
      </c>
      <c r="P77" s="8"/>
      <c r="Q77" s="406">
        <f>N77-O77</f>
        <v>48</v>
      </c>
    </row>
    <row r="78" spans="1:23" x14ac:dyDescent="0.3">
      <c r="B78" s="521" t="s">
        <v>818</v>
      </c>
      <c r="C78" s="505">
        <v>1641</v>
      </c>
      <c r="D78" s="505">
        <v>36</v>
      </c>
      <c r="E78" s="505">
        <v>897</v>
      </c>
      <c r="F78" s="505">
        <v>11</v>
      </c>
      <c r="G78" s="505">
        <v>33</v>
      </c>
      <c r="H78" s="505">
        <v>2</v>
      </c>
      <c r="I78" s="505">
        <v>46</v>
      </c>
      <c r="J78" s="505">
        <v>0</v>
      </c>
      <c r="K78" s="505">
        <v>107</v>
      </c>
      <c r="L78" s="535">
        <v>3</v>
      </c>
      <c r="M78" s="212">
        <f t="shared" si="49"/>
        <v>2724</v>
      </c>
      <c r="N78" s="428">
        <f t="shared" si="49"/>
        <v>52</v>
      </c>
      <c r="O78" s="505">
        <f>D143</f>
        <v>9</v>
      </c>
      <c r="P78" s="25"/>
      <c r="Q78" s="185">
        <f>N78-O78</f>
        <v>43</v>
      </c>
    </row>
    <row r="79" spans="1:23" x14ac:dyDescent="0.3">
      <c r="B79" s="497" t="s">
        <v>864</v>
      </c>
      <c r="C79" s="498">
        <f>ROUNDUP(AVERAGE(C77:C78)/2,0)</f>
        <v>1007</v>
      </c>
      <c r="D79" s="498">
        <f t="shared" ref="D79:K79" si="50">ROUNDUP(AVERAGE(D77:D78)/2,0)</f>
        <v>21</v>
      </c>
      <c r="E79" s="498">
        <f t="shared" si="50"/>
        <v>417</v>
      </c>
      <c r="F79" s="498">
        <f t="shared" si="50"/>
        <v>5</v>
      </c>
      <c r="G79" s="498">
        <f t="shared" si="50"/>
        <v>16</v>
      </c>
      <c r="H79" s="498">
        <f t="shared" si="50"/>
        <v>1</v>
      </c>
      <c r="I79" s="498">
        <f t="shared" si="50"/>
        <v>29</v>
      </c>
      <c r="J79" s="498">
        <f t="shared" si="50"/>
        <v>1</v>
      </c>
      <c r="K79" s="498">
        <f t="shared" si="50"/>
        <v>33</v>
      </c>
      <c r="L79" s="498">
        <f>ROUNDUP(AVERAGE(L77:L78)/2,0)</f>
        <v>1</v>
      </c>
      <c r="M79" s="498">
        <f t="shared" si="49"/>
        <v>1502</v>
      </c>
      <c r="N79" s="498">
        <f t="shared" si="49"/>
        <v>29</v>
      </c>
      <c r="Q79" s="567">
        <f>ROUNDUP(AVERAGE(Q77:Q78)/2,0)</f>
        <v>23</v>
      </c>
    </row>
    <row r="80" spans="1:23" x14ac:dyDescent="0.3">
      <c r="B80" s="550" t="s">
        <v>844</v>
      </c>
      <c r="C80" s="505"/>
      <c r="D80" s="505"/>
      <c r="E80" s="505"/>
      <c r="F80" s="505"/>
      <c r="G80" s="505"/>
      <c r="H80" s="505"/>
      <c r="I80" s="505"/>
      <c r="J80" s="505"/>
      <c r="K80" s="505"/>
      <c r="L80" s="505"/>
      <c r="M80" s="505"/>
      <c r="N80" s="505"/>
      <c r="O80" s="28"/>
      <c r="P80" s="28"/>
      <c r="Q80" s="506"/>
    </row>
    <row r="81" spans="1:17" x14ac:dyDescent="0.3">
      <c r="B81" s="496" t="s">
        <v>820</v>
      </c>
      <c r="C81" s="540">
        <v>41</v>
      </c>
      <c r="D81" s="494">
        <v>0</v>
      </c>
      <c r="E81" s="494">
        <v>5</v>
      </c>
      <c r="F81" s="494">
        <v>0</v>
      </c>
      <c r="G81" s="494">
        <v>1</v>
      </c>
      <c r="H81" s="494">
        <v>0</v>
      </c>
      <c r="I81" s="494">
        <v>0</v>
      </c>
      <c r="J81" s="494">
        <v>0</v>
      </c>
      <c r="K81" s="494">
        <v>0</v>
      </c>
      <c r="L81" s="530">
        <v>0</v>
      </c>
      <c r="M81" s="85">
        <f>SUM(C81,E81,G81,I81,K81)</f>
        <v>47</v>
      </c>
      <c r="N81" s="75">
        <f>SUM(D81,F81,H81,J81,L81)</f>
        <v>0</v>
      </c>
      <c r="O81" s="540">
        <v>0</v>
      </c>
      <c r="P81" s="8"/>
      <c r="Q81" s="406">
        <f>N81-O81</f>
        <v>0</v>
      </c>
    </row>
    <row r="82" spans="1:17" ht="14.5" thickBot="1" x14ac:dyDescent="0.35">
      <c r="A82" s="504"/>
      <c r="B82" s="491" t="s">
        <v>819</v>
      </c>
      <c r="C82" s="541">
        <v>158</v>
      </c>
      <c r="D82" s="541">
        <v>3</v>
      </c>
      <c r="E82" s="541">
        <v>78</v>
      </c>
      <c r="F82" s="541">
        <v>0</v>
      </c>
      <c r="G82" s="541">
        <v>4</v>
      </c>
      <c r="H82" s="541">
        <v>1</v>
      </c>
      <c r="I82" s="541">
        <v>3</v>
      </c>
      <c r="J82" s="541">
        <v>0</v>
      </c>
      <c r="K82" s="541">
        <v>9</v>
      </c>
      <c r="L82" s="542">
        <v>0</v>
      </c>
      <c r="M82" s="487">
        <f>SUM(C82,E82,G82,I82,K82)</f>
        <v>252</v>
      </c>
      <c r="N82" s="488">
        <f>SUM(D82,F82,H82,J82,L82)</f>
        <v>4</v>
      </c>
      <c r="O82" s="541">
        <v>2</v>
      </c>
      <c r="P82" s="489"/>
      <c r="Q82" s="490">
        <f>N82-O82</f>
        <v>2</v>
      </c>
    </row>
    <row r="83" spans="1:17" ht="14.5" thickTop="1" x14ac:dyDescent="0.3">
      <c r="B83" s="493"/>
      <c r="C83" s="494"/>
      <c r="D83" s="494"/>
      <c r="E83" s="494"/>
      <c r="F83" s="494"/>
      <c r="G83" s="494"/>
      <c r="H83" s="494"/>
      <c r="I83" s="494"/>
      <c r="J83" s="494"/>
      <c r="K83" s="494"/>
      <c r="L83" s="494"/>
      <c r="M83" s="495"/>
      <c r="N83" s="495"/>
      <c r="O83" s="494"/>
      <c r="P83" s="8"/>
      <c r="Q83" s="492"/>
    </row>
    <row r="84" spans="1:17" ht="27.65" customHeight="1" x14ac:dyDescent="0.3">
      <c r="A84" s="1146" t="s">
        <v>273</v>
      </c>
      <c r="B84" s="1147"/>
      <c r="C84" s="462">
        <v>2019</v>
      </c>
      <c r="D84" s="462">
        <v>2020</v>
      </c>
      <c r="E84" s="462">
        <v>2021</v>
      </c>
      <c r="F84" s="8"/>
      <c r="G84" s="452" t="s">
        <v>764</v>
      </c>
      <c r="H84" s="453" t="s">
        <v>274</v>
      </c>
      <c r="N84" s="54"/>
      <c r="O84" s="54"/>
      <c r="P84" s="54"/>
      <c r="Q84" s="409"/>
    </row>
    <row r="85" spans="1:17" x14ac:dyDescent="0.3">
      <c r="B85" s="20" t="s">
        <v>268</v>
      </c>
      <c r="C85" s="562">
        <v>91954</v>
      </c>
      <c r="D85" s="562">
        <v>89205</v>
      </c>
      <c r="E85" s="562">
        <v>82512</v>
      </c>
      <c r="F85" s="8"/>
      <c r="G85" s="166">
        <f>AVERAGE(C85:E85)</f>
        <v>87890.333333333328</v>
      </c>
      <c r="H85" s="8"/>
      <c r="Q85" s="26"/>
    </row>
    <row r="86" spans="1:17" x14ac:dyDescent="0.3">
      <c r="B86" s="563" t="s">
        <v>857</v>
      </c>
      <c r="C86" s="564">
        <f>C85+C90</f>
        <v>93222</v>
      </c>
      <c r="D86" s="564">
        <f>D85+D90</f>
        <v>90666</v>
      </c>
      <c r="E86" s="564">
        <f>E85+E90</f>
        <v>85386</v>
      </c>
      <c r="F86" s="8"/>
      <c r="G86" s="166">
        <f>AVERAGE(C86:E86)</f>
        <v>89758</v>
      </c>
      <c r="H86" s="8"/>
      <c r="Q86" s="26"/>
    </row>
    <row r="87" spans="1:17" x14ac:dyDescent="0.3">
      <c r="A87" s="28"/>
      <c r="B87" s="543" t="s">
        <v>858</v>
      </c>
      <c r="C87" s="56">
        <f>C86-(C94+C108)</f>
        <v>78178</v>
      </c>
      <c r="D87" s="56">
        <f>D86-(D94+D108)</f>
        <v>75500</v>
      </c>
      <c r="E87" s="56">
        <f>E86-(E94+E108)</f>
        <v>75904</v>
      </c>
      <c r="F87" s="8"/>
      <c r="G87" s="59">
        <f>AVERAGE(C87:E87)</f>
        <v>76527.333333333328</v>
      </c>
      <c r="Q87" s="26"/>
    </row>
    <row r="88" spans="1:17" ht="8" customHeight="1" thickBot="1" x14ac:dyDescent="0.35">
      <c r="B88" s="20"/>
      <c r="F88" s="8"/>
      <c r="Q88" s="26"/>
    </row>
    <row r="89" spans="1:17" ht="27.75" customHeight="1" x14ac:dyDescent="0.3">
      <c r="B89" s="556" t="s">
        <v>855</v>
      </c>
      <c r="C89" s="454">
        <v>2019</v>
      </c>
      <c r="D89" s="454">
        <v>2020</v>
      </c>
      <c r="E89" s="455">
        <v>2021</v>
      </c>
      <c r="F89" s="457"/>
      <c r="Q89" s="26"/>
    </row>
    <row r="90" spans="1:17" x14ac:dyDescent="0.3">
      <c r="B90" s="456" t="s">
        <v>854</v>
      </c>
      <c r="C90" s="562">
        <v>1268</v>
      </c>
      <c r="D90" s="562">
        <v>1461</v>
      </c>
      <c r="E90" s="558">
        <f>(E91/3)*2</f>
        <v>2874</v>
      </c>
      <c r="F90" s="457" t="s">
        <v>859</v>
      </c>
      <c r="Q90" s="26"/>
    </row>
    <row r="91" spans="1:17" ht="14.5" thickBot="1" x14ac:dyDescent="0.35">
      <c r="B91" s="559" t="s">
        <v>784</v>
      </c>
      <c r="C91" s="560"/>
      <c r="D91" s="560"/>
      <c r="E91" s="561">
        <v>4311</v>
      </c>
      <c r="F91" s="8" t="s">
        <v>856</v>
      </c>
      <c r="Q91" s="26"/>
    </row>
    <row r="92" spans="1:17" ht="5" customHeight="1" thickBot="1" x14ac:dyDescent="0.35">
      <c r="A92" s="28"/>
      <c r="B92" s="557"/>
      <c r="C92" s="29"/>
      <c r="D92" s="29"/>
      <c r="E92" s="29"/>
      <c r="F92" s="19"/>
      <c r="G92" s="19"/>
      <c r="H92" s="19"/>
      <c r="I92" s="8"/>
      <c r="J92" s="19"/>
      <c r="K92" s="19"/>
      <c r="Q92" s="26"/>
    </row>
    <row r="93" spans="1:17" x14ac:dyDescent="0.3">
      <c r="B93" s="463" t="s">
        <v>275</v>
      </c>
      <c r="C93" s="454">
        <v>2019</v>
      </c>
      <c r="D93" s="454">
        <v>2020</v>
      </c>
      <c r="E93" s="454">
        <v>2021</v>
      </c>
      <c r="G93" s="28"/>
      <c r="I93" s="8"/>
      <c r="J93" s="18"/>
      <c r="K93" s="18"/>
      <c r="Q93" s="26"/>
    </row>
    <row r="94" spans="1:17" x14ac:dyDescent="0.3">
      <c r="A94" s="28"/>
      <c r="B94" s="33" t="s">
        <v>276</v>
      </c>
      <c r="C94" s="29">
        <v>10346</v>
      </c>
      <c r="D94" s="29">
        <v>11223</v>
      </c>
      <c r="E94" s="37">
        <v>6702</v>
      </c>
      <c r="G94" s="37">
        <f>AVERAGE(C94:E94)</f>
        <v>9423.6666666666661</v>
      </c>
      <c r="Q94" s="26"/>
    </row>
    <row r="95" spans="1:17" ht="5" customHeight="1" thickBot="1" x14ac:dyDescent="0.35">
      <c r="B95" s="465"/>
      <c r="Q95" s="26"/>
    </row>
    <row r="96" spans="1:17" x14ac:dyDescent="0.3">
      <c r="B96" s="464" t="s">
        <v>822</v>
      </c>
      <c r="C96" s="454">
        <v>2019</v>
      </c>
      <c r="D96" s="454">
        <v>2020</v>
      </c>
      <c r="E96" s="454">
        <v>2021</v>
      </c>
      <c r="F96" s="53"/>
      <c r="G96" s="53"/>
      <c r="H96" s="53"/>
      <c r="I96" s="8"/>
      <c r="J96" s="19"/>
      <c r="Q96" s="26"/>
    </row>
    <row r="97" spans="2:17" x14ac:dyDescent="0.3">
      <c r="B97" s="446" t="s">
        <v>803</v>
      </c>
      <c r="C97" s="55">
        <v>69</v>
      </c>
      <c r="D97" s="55">
        <v>48</v>
      </c>
      <c r="E97" s="55">
        <v>56</v>
      </c>
      <c r="F97" s="8"/>
      <c r="G97" s="19"/>
      <c r="H97" s="19"/>
      <c r="M97" s="53"/>
      <c r="Q97" s="26"/>
    </row>
    <row r="98" spans="2:17" x14ac:dyDescent="0.3">
      <c r="B98" s="446" t="s">
        <v>811</v>
      </c>
      <c r="C98" s="55">
        <v>502</v>
      </c>
      <c r="D98" s="55">
        <v>427</v>
      </c>
      <c r="E98" s="55">
        <v>231</v>
      </c>
      <c r="F98" s="53"/>
      <c r="G98" s="57"/>
      <c r="H98" s="57"/>
      <c r="L98" s="58"/>
      <c r="M98" s="58"/>
      <c r="Q98" s="26"/>
    </row>
    <row r="99" spans="2:17" x14ac:dyDescent="0.3">
      <c r="B99" s="446" t="s">
        <v>812</v>
      </c>
      <c r="C99" s="86"/>
      <c r="D99" s="86"/>
      <c r="E99" s="86"/>
      <c r="F99" s="8"/>
      <c r="G99" s="19"/>
      <c r="H99" s="19"/>
      <c r="Q99" s="26"/>
    </row>
    <row r="100" spans="2:17" x14ac:dyDescent="0.3">
      <c r="B100" s="499" t="s">
        <v>815</v>
      </c>
      <c r="C100" s="55">
        <v>1461</v>
      </c>
      <c r="D100" s="55">
        <v>1141</v>
      </c>
      <c r="E100" s="55">
        <v>820</v>
      </c>
      <c r="F100" s="53"/>
      <c r="G100" s="19"/>
      <c r="H100" s="19"/>
      <c r="Q100" s="8"/>
    </row>
    <row r="101" spans="2:17" x14ac:dyDescent="0.3">
      <c r="B101" s="446" t="s">
        <v>224</v>
      </c>
      <c r="C101" s="55">
        <v>52</v>
      </c>
      <c r="D101" s="55">
        <v>50</v>
      </c>
      <c r="E101" s="55">
        <v>50</v>
      </c>
      <c r="F101" s="8"/>
      <c r="G101" s="19"/>
      <c r="H101" s="19"/>
      <c r="Q101" s="8"/>
    </row>
    <row r="102" spans="2:17" x14ac:dyDescent="0.3">
      <c r="B102" s="446" t="s">
        <v>817</v>
      </c>
      <c r="C102" s="86"/>
      <c r="D102" s="86"/>
      <c r="E102" s="55">
        <v>283</v>
      </c>
      <c r="F102" s="53"/>
      <c r="G102" s="161"/>
      <c r="H102" s="161"/>
      <c r="Q102" s="8"/>
    </row>
    <row r="103" spans="2:17" x14ac:dyDescent="0.3">
      <c r="B103" s="500" t="s">
        <v>765</v>
      </c>
      <c r="C103" s="55">
        <v>968</v>
      </c>
      <c r="D103" s="55">
        <v>1001</v>
      </c>
      <c r="E103" s="55">
        <v>687</v>
      </c>
      <c r="F103" s="53"/>
      <c r="G103" s="57"/>
      <c r="H103" s="57"/>
      <c r="I103" s="58"/>
      <c r="J103" s="58"/>
      <c r="K103" s="58"/>
      <c r="L103" s="58"/>
      <c r="M103" s="53"/>
      <c r="N103" s="299"/>
      <c r="O103" s="299"/>
      <c r="Q103" s="8"/>
    </row>
    <row r="104" spans="2:17" x14ac:dyDescent="0.3">
      <c r="B104" s="446" t="s">
        <v>653</v>
      </c>
      <c r="C104" s="55">
        <v>555</v>
      </c>
      <c r="D104" s="55">
        <v>331</v>
      </c>
      <c r="E104" s="55">
        <v>383</v>
      </c>
      <c r="F104" s="53"/>
      <c r="G104" s="19"/>
      <c r="H104" s="19"/>
      <c r="Q104" s="8"/>
    </row>
    <row r="105" spans="2:17" x14ac:dyDescent="0.3">
      <c r="B105" s="446" t="s">
        <v>810</v>
      </c>
      <c r="C105" s="55">
        <v>543</v>
      </c>
      <c r="D105" s="55">
        <v>616</v>
      </c>
      <c r="E105" s="86"/>
      <c r="F105" s="8"/>
      <c r="G105" s="19"/>
      <c r="H105" s="19"/>
      <c r="Q105" s="8"/>
    </row>
    <row r="106" spans="2:17" x14ac:dyDescent="0.3">
      <c r="B106" s="446" t="s">
        <v>814</v>
      </c>
      <c r="C106" s="55">
        <v>548</v>
      </c>
      <c r="D106" s="55">
        <v>329</v>
      </c>
      <c r="E106" s="55">
        <v>270</v>
      </c>
      <c r="F106" s="53"/>
      <c r="G106" s="55"/>
      <c r="H106" s="55"/>
      <c r="Q106" s="8"/>
    </row>
    <row r="107" spans="2:17" x14ac:dyDescent="0.3">
      <c r="B107" s="510" t="s">
        <v>813</v>
      </c>
      <c r="C107" s="186"/>
      <c r="D107" s="186"/>
      <c r="E107" s="186"/>
      <c r="F107" s="8"/>
      <c r="M107" s="10"/>
      <c r="Q107" s="8"/>
    </row>
    <row r="108" spans="2:17" x14ac:dyDescent="0.3">
      <c r="B108" s="36" t="s">
        <v>277</v>
      </c>
      <c r="C108" s="55">
        <f>SUM(C97:C107)</f>
        <v>4698</v>
      </c>
      <c r="D108" s="55">
        <f>SUM(D97:D107)</f>
        <v>3943</v>
      </c>
      <c r="E108" s="55">
        <f>SUM(E97:E107)</f>
        <v>2780</v>
      </c>
      <c r="F108" s="8"/>
      <c r="G108" s="37">
        <f>AVERAGE(C108:E108)</f>
        <v>3807</v>
      </c>
      <c r="Q108" s="8"/>
    </row>
    <row r="109" spans="2:17" ht="14.5" thickBot="1" x14ac:dyDescent="0.35">
      <c r="B109" s="36"/>
      <c r="C109" s="55"/>
      <c r="D109" s="55"/>
      <c r="E109" s="55"/>
      <c r="Q109" s="8"/>
    </row>
    <row r="110" spans="2:17" ht="40.5" customHeight="1" x14ac:dyDescent="0.3">
      <c r="B110" s="576" t="s">
        <v>866</v>
      </c>
      <c r="C110" s="577"/>
      <c r="D110" s="578"/>
      <c r="E110" s="55"/>
      <c r="Q110" s="8"/>
    </row>
    <row r="111" spans="2:17" ht="14.25" customHeight="1" x14ac:dyDescent="0.3">
      <c r="B111" s="569" t="s">
        <v>821</v>
      </c>
      <c r="C111" s="55">
        <v>1458</v>
      </c>
      <c r="D111" s="570"/>
      <c r="E111" s="55"/>
      <c r="Q111" s="8"/>
    </row>
    <row r="112" spans="2:17" x14ac:dyDescent="0.3">
      <c r="B112" s="571" t="s">
        <v>818</v>
      </c>
      <c r="C112" s="573">
        <v>1642</v>
      </c>
      <c r="D112" s="574"/>
      <c r="E112" s="55"/>
      <c r="Q112" s="8"/>
    </row>
    <row r="113" spans="2:17" ht="14.5" thickBot="1" x14ac:dyDescent="0.35">
      <c r="B113" s="572" t="s">
        <v>865</v>
      </c>
      <c r="C113" s="575">
        <f>ROUNDUP(AVERAGE(C111:C112)/2,0)</f>
        <v>775</v>
      </c>
      <c r="D113" s="146"/>
      <c r="E113" s="55"/>
      <c r="Q113" s="8"/>
    </row>
    <row r="114" spans="2:17" x14ac:dyDescent="0.3">
      <c r="B114" s="568"/>
      <c r="C114" s="605"/>
      <c r="D114" s="605"/>
      <c r="E114" s="605"/>
      <c r="F114" s="28"/>
      <c r="G114" s="28"/>
      <c r="H114" s="28"/>
      <c r="Q114" s="8"/>
    </row>
    <row r="115" spans="2:17" x14ac:dyDescent="0.3">
      <c r="B115" s="606" t="s">
        <v>882</v>
      </c>
      <c r="C115" s="607"/>
      <c r="D115" s="607"/>
      <c r="E115" s="607"/>
      <c r="F115" s="607"/>
      <c r="G115" s="607"/>
      <c r="H115" s="607"/>
      <c r="J115" s="1123" t="s">
        <v>883</v>
      </c>
    </row>
    <row r="116" spans="2:17" x14ac:dyDescent="0.3">
      <c r="B116" s="568"/>
      <c r="C116" s="608">
        <v>2016</v>
      </c>
      <c r="D116" s="608">
        <v>2017</v>
      </c>
      <c r="E116" s="608">
        <v>2018</v>
      </c>
      <c r="F116" s="608">
        <v>2019</v>
      </c>
      <c r="G116" s="608">
        <v>2020</v>
      </c>
      <c r="H116" s="608">
        <v>2021</v>
      </c>
      <c r="J116" s="1123"/>
      <c r="Q116" s="8"/>
    </row>
    <row r="117" spans="2:17" x14ac:dyDescent="0.3">
      <c r="B117" s="601" t="s">
        <v>878</v>
      </c>
      <c r="C117" s="596">
        <f>SUM(C118:C122)</f>
        <v>159</v>
      </c>
      <c r="D117" s="596">
        <f t="shared" ref="D117:H117" si="51">SUM(D118:D122)</f>
        <v>156</v>
      </c>
      <c r="E117" s="596">
        <f t="shared" si="51"/>
        <v>162</v>
      </c>
      <c r="F117" s="596">
        <f t="shared" si="51"/>
        <v>130</v>
      </c>
      <c r="G117" s="596">
        <f t="shared" si="51"/>
        <v>159</v>
      </c>
      <c r="H117" s="596">
        <f t="shared" si="51"/>
        <v>163</v>
      </c>
      <c r="J117" s="8"/>
      <c r="K117" s="8"/>
      <c r="Q117" s="8"/>
    </row>
    <row r="118" spans="2:17" x14ac:dyDescent="0.3">
      <c r="B118" s="493" t="s">
        <v>259</v>
      </c>
      <c r="C118" s="597">
        <v>74</v>
      </c>
      <c r="D118" s="597">
        <v>84</v>
      </c>
      <c r="E118" s="597">
        <v>90</v>
      </c>
      <c r="F118" s="603">
        <v>63</v>
      </c>
      <c r="G118" s="603">
        <v>89</v>
      </c>
      <c r="H118" s="603">
        <v>83</v>
      </c>
      <c r="J118" s="612">
        <f>IF(SUM(F118:H118)=0,0,AVERAGE(F118:H118))</f>
        <v>78.333333333333329</v>
      </c>
      <c r="K118" s="8"/>
      <c r="Q118" s="8"/>
    </row>
    <row r="119" spans="2:17" x14ac:dyDescent="0.3">
      <c r="B119" s="493" t="s">
        <v>260</v>
      </c>
      <c r="C119" s="597">
        <v>45</v>
      </c>
      <c r="D119" s="597">
        <v>28</v>
      </c>
      <c r="E119" s="597">
        <v>28</v>
      </c>
      <c r="F119" s="603">
        <v>41</v>
      </c>
      <c r="G119" s="603">
        <v>41</v>
      </c>
      <c r="H119" s="603">
        <v>60</v>
      </c>
      <c r="J119" s="612">
        <f t="shared" ref="J119:J133" si="52">IF(SUM(F119:H119)=0,0,AVERAGE(F119:H119))</f>
        <v>47.333333333333336</v>
      </c>
      <c r="K119" s="8"/>
      <c r="Q119" s="8"/>
    </row>
    <row r="120" spans="2:17" x14ac:dyDescent="0.3">
      <c r="B120" s="493" t="s">
        <v>261</v>
      </c>
      <c r="C120" s="597">
        <v>19</v>
      </c>
      <c r="D120" s="597">
        <v>23</v>
      </c>
      <c r="E120" s="597">
        <v>23</v>
      </c>
      <c r="F120" s="603">
        <v>18</v>
      </c>
      <c r="G120" s="603">
        <v>10</v>
      </c>
      <c r="H120" s="603">
        <v>4</v>
      </c>
      <c r="J120" s="612">
        <f t="shared" si="52"/>
        <v>10.666666666666666</v>
      </c>
      <c r="K120" s="8"/>
      <c r="Q120" s="8"/>
    </row>
    <row r="121" spans="2:17" x14ac:dyDescent="0.3">
      <c r="B121" s="493" t="s">
        <v>262</v>
      </c>
      <c r="C121" s="597"/>
      <c r="D121" s="597"/>
      <c r="E121" s="597"/>
      <c r="F121" s="603"/>
      <c r="G121" s="603">
        <v>1</v>
      </c>
      <c r="H121" s="603"/>
      <c r="J121" s="612">
        <f t="shared" si="52"/>
        <v>1</v>
      </c>
      <c r="K121" s="8"/>
      <c r="Q121" s="8"/>
    </row>
    <row r="122" spans="2:17" ht="14.5" thickBot="1" x14ac:dyDescent="0.35">
      <c r="B122" s="598" t="s">
        <v>684</v>
      </c>
      <c r="C122" s="599">
        <v>21</v>
      </c>
      <c r="D122" s="599">
        <v>21</v>
      </c>
      <c r="E122" s="599">
        <v>21</v>
      </c>
      <c r="F122" s="604">
        <v>8</v>
      </c>
      <c r="G122" s="604">
        <v>18</v>
      </c>
      <c r="H122" s="604">
        <v>16</v>
      </c>
      <c r="J122" s="612">
        <f t="shared" si="52"/>
        <v>14</v>
      </c>
      <c r="K122" s="8"/>
      <c r="Q122" s="8"/>
    </row>
    <row r="123" spans="2:17" ht="14.5" thickTop="1" x14ac:dyDescent="0.3">
      <c r="B123" s="601" t="s">
        <v>879</v>
      </c>
      <c r="C123" s="596">
        <f>SUM(C124:C128)</f>
        <v>52</v>
      </c>
      <c r="D123" s="596">
        <f t="shared" ref="D123:H123" si="53">SUM(D124:D128)</f>
        <v>56</v>
      </c>
      <c r="E123" s="596">
        <f t="shared" si="53"/>
        <v>49</v>
      </c>
      <c r="F123" s="596">
        <f t="shared" si="53"/>
        <v>58</v>
      </c>
      <c r="G123" s="596">
        <f t="shared" si="53"/>
        <v>46</v>
      </c>
      <c r="H123" s="596">
        <f t="shared" si="53"/>
        <v>19</v>
      </c>
      <c r="J123" s="612"/>
      <c r="K123" s="8"/>
      <c r="Q123" s="8"/>
    </row>
    <row r="124" spans="2:17" x14ac:dyDescent="0.3">
      <c r="B124" s="493" t="s">
        <v>259</v>
      </c>
      <c r="C124" s="55">
        <v>23</v>
      </c>
      <c r="D124" s="55">
        <v>24</v>
      </c>
      <c r="E124" s="55">
        <v>18</v>
      </c>
      <c r="F124" s="8">
        <v>23</v>
      </c>
      <c r="G124" s="8">
        <v>29</v>
      </c>
      <c r="H124" s="8">
        <v>9</v>
      </c>
      <c r="J124" s="612">
        <f t="shared" si="52"/>
        <v>20.333333333333332</v>
      </c>
      <c r="K124" s="8"/>
      <c r="Q124" s="8"/>
    </row>
    <row r="125" spans="2:17" x14ac:dyDescent="0.3">
      <c r="B125" s="493" t="s">
        <v>260</v>
      </c>
      <c r="C125" s="55">
        <v>14</v>
      </c>
      <c r="D125" s="55">
        <v>13</v>
      </c>
      <c r="E125" s="55">
        <v>9</v>
      </c>
      <c r="F125" s="8">
        <v>10</v>
      </c>
      <c r="G125" s="8">
        <v>9</v>
      </c>
      <c r="H125" s="8">
        <v>4</v>
      </c>
      <c r="J125" s="612">
        <f t="shared" si="52"/>
        <v>7.666666666666667</v>
      </c>
      <c r="K125" s="8"/>
      <c r="Q125" s="8"/>
    </row>
    <row r="126" spans="2:17" x14ac:dyDescent="0.3">
      <c r="B126" s="493" t="s">
        <v>261</v>
      </c>
      <c r="C126" s="55">
        <v>11</v>
      </c>
      <c r="D126" s="55">
        <v>16</v>
      </c>
      <c r="E126" s="55">
        <v>14</v>
      </c>
      <c r="F126" s="8">
        <v>21</v>
      </c>
      <c r="G126" s="8">
        <v>6</v>
      </c>
      <c r="H126" s="8">
        <v>6</v>
      </c>
      <c r="J126" s="612">
        <f t="shared" si="52"/>
        <v>11</v>
      </c>
      <c r="K126" s="8"/>
      <c r="Q126" s="8"/>
    </row>
    <row r="127" spans="2:17" x14ac:dyDescent="0.3">
      <c r="B127" s="493" t="s">
        <v>262</v>
      </c>
      <c r="C127" s="55">
        <v>2</v>
      </c>
      <c r="D127" s="55"/>
      <c r="E127" s="55"/>
      <c r="F127" s="8"/>
      <c r="G127" s="8"/>
      <c r="H127" s="8"/>
      <c r="J127" s="612">
        <f t="shared" si="52"/>
        <v>0</v>
      </c>
      <c r="K127" s="8"/>
      <c r="Q127" s="8"/>
    </row>
    <row r="128" spans="2:17" ht="14.5" thickBot="1" x14ac:dyDescent="0.35">
      <c r="B128" s="598" t="s">
        <v>684</v>
      </c>
      <c r="C128" s="600">
        <v>2</v>
      </c>
      <c r="D128" s="600">
        <v>3</v>
      </c>
      <c r="E128" s="600">
        <v>8</v>
      </c>
      <c r="F128" s="489">
        <v>4</v>
      </c>
      <c r="G128" s="489">
        <v>2</v>
      </c>
      <c r="H128" s="489"/>
      <c r="J128" s="612">
        <f t="shared" si="52"/>
        <v>3</v>
      </c>
      <c r="K128" s="8"/>
      <c r="Q128" s="8"/>
    </row>
    <row r="129" spans="1:17" ht="14.5" thickTop="1" x14ac:dyDescent="0.3">
      <c r="B129" s="601" t="s">
        <v>880</v>
      </c>
      <c r="C129" s="595">
        <f>SUM(C130:C133)</f>
        <v>17</v>
      </c>
      <c r="D129" s="595">
        <f t="shared" ref="D129:H129" si="54">SUM(D130:D133)</f>
        <v>8</v>
      </c>
      <c r="E129" s="595">
        <f t="shared" si="54"/>
        <v>14</v>
      </c>
      <c r="F129" s="595">
        <f t="shared" si="54"/>
        <v>6</v>
      </c>
      <c r="G129" s="595">
        <f t="shared" si="54"/>
        <v>4</v>
      </c>
      <c r="H129" s="595">
        <f t="shared" si="54"/>
        <v>3</v>
      </c>
      <c r="J129" s="612"/>
      <c r="K129" s="8"/>
      <c r="Q129" s="8"/>
    </row>
    <row r="130" spans="1:17" x14ac:dyDescent="0.3">
      <c r="B130" s="533" t="s">
        <v>259</v>
      </c>
      <c r="C130" s="55">
        <v>6</v>
      </c>
      <c r="D130" s="55">
        <v>7</v>
      </c>
      <c r="E130" s="55">
        <v>7</v>
      </c>
      <c r="F130" s="8">
        <v>6</v>
      </c>
      <c r="G130" s="8">
        <v>1</v>
      </c>
      <c r="H130" s="8">
        <v>2</v>
      </c>
      <c r="J130" s="612">
        <f t="shared" si="52"/>
        <v>3</v>
      </c>
      <c r="K130" s="8"/>
      <c r="Q130" s="8"/>
    </row>
    <row r="131" spans="1:17" x14ac:dyDescent="0.3">
      <c r="B131" s="493" t="s">
        <v>260</v>
      </c>
      <c r="C131" s="55">
        <v>6</v>
      </c>
      <c r="D131" s="55"/>
      <c r="E131" s="55">
        <v>6</v>
      </c>
      <c r="F131" s="8"/>
      <c r="G131" s="8">
        <v>1</v>
      </c>
      <c r="H131" s="8"/>
      <c r="J131" s="612">
        <f t="shared" si="52"/>
        <v>1</v>
      </c>
      <c r="K131" s="8"/>
      <c r="Q131" s="8"/>
    </row>
    <row r="132" spans="1:17" x14ac:dyDescent="0.3">
      <c r="B132" s="493" t="s">
        <v>261</v>
      </c>
      <c r="C132" s="55">
        <v>3</v>
      </c>
      <c r="D132" s="55">
        <v>1</v>
      </c>
      <c r="E132" s="55"/>
      <c r="F132" s="8"/>
      <c r="G132" s="8"/>
      <c r="H132" s="8"/>
      <c r="J132" s="612">
        <f t="shared" si="52"/>
        <v>0</v>
      </c>
      <c r="K132" s="8"/>
      <c r="Q132" s="8"/>
    </row>
    <row r="133" spans="1:17" ht="14.5" thickBot="1" x14ac:dyDescent="0.35">
      <c r="B133" s="598" t="s">
        <v>684</v>
      </c>
      <c r="C133" s="600">
        <v>2</v>
      </c>
      <c r="D133" s="600"/>
      <c r="E133" s="600">
        <v>1</v>
      </c>
      <c r="F133" s="489"/>
      <c r="G133" s="489">
        <v>2</v>
      </c>
      <c r="H133" s="489">
        <v>1</v>
      </c>
      <c r="J133" s="612">
        <f t="shared" si="52"/>
        <v>1.5</v>
      </c>
      <c r="K133" s="8"/>
      <c r="Q133" s="8"/>
    </row>
    <row r="134" spans="1:17" ht="14.5" thickTop="1" x14ac:dyDescent="0.3">
      <c r="B134" s="602" t="s">
        <v>881</v>
      </c>
      <c r="C134" s="609">
        <f>SUM(C129,C123,C117)</f>
        <v>228</v>
      </c>
      <c r="D134" s="609">
        <f t="shared" ref="D134:H134" si="55">SUM(D129,D123,D117)</f>
        <v>220</v>
      </c>
      <c r="E134" s="609">
        <f t="shared" si="55"/>
        <v>225</v>
      </c>
      <c r="F134" s="609">
        <f t="shared" si="55"/>
        <v>194</v>
      </c>
      <c r="G134" s="609">
        <f t="shared" si="55"/>
        <v>209</v>
      </c>
      <c r="H134" s="609">
        <f t="shared" si="55"/>
        <v>185</v>
      </c>
      <c r="J134" s="603"/>
      <c r="K134" s="8"/>
    </row>
    <row r="136" spans="1:17" x14ac:dyDescent="0.3">
      <c r="B136" s="606" t="s">
        <v>886</v>
      </c>
      <c r="C136" s="607"/>
      <c r="D136" s="607"/>
      <c r="E136" s="607"/>
      <c r="F136" s="1115" t="s">
        <v>888</v>
      </c>
    </row>
    <row r="137" spans="1:17" x14ac:dyDescent="0.3">
      <c r="B137" s="614"/>
      <c r="C137" s="608">
        <v>2010</v>
      </c>
      <c r="D137" s="608">
        <v>2012</v>
      </c>
      <c r="E137" s="408" t="s">
        <v>331</v>
      </c>
      <c r="F137" s="1116"/>
    </row>
    <row r="138" spans="1:17" x14ac:dyDescent="0.3">
      <c r="B138" s="533" t="s">
        <v>259</v>
      </c>
      <c r="C138" s="55">
        <v>6</v>
      </c>
      <c r="D138" s="55">
        <v>6</v>
      </c>
      <c r="E138" s="55">
        <f>IF(SUM(C138:D138)=0,0,AVERAGE(C138:D138))</f>
        <v>6</v>
      </c>
      <c r="F138" s="616">
        <f>ROUND(E138/2,0)</f>
        <v>3</v>
      </c>
      <c r="G138" s="8"/>
      <c r="H138" s="8"/>
    </row>
    <row r="139" spans="1:17" x14ac:dyDescent="0.3">
      <c r="B139" s="493" t="s">
        <v>260</v>
      </c>
      <c r="C139" s="55">
        <v>2</v>
      </c>
      <c r="D139" s="55">
        <v>1</v>
      </c>
      <c r="E139" s="55">
        <f t="shared" ref="E139:E142" si="56">IF(SUM(C139:D139)=0,0,AVERAGE(C139:D139))</f>
        <v>1.5</v>
      </c>
      <c r="F139" s="616">
        <f>ROUND(E139/2,0)</f>
        <v>1</v>
      </c>
      <c r="G139" s="8"/>
      <c r="H139" s="8"/>
    </row>
    <row r="140" spans="1:17" x14ac:dyDescent="0.3">
      <c r="B140" s="493" t="s">
        <v>261</v>
      </c>
      <c r="C140" s="55"/>
      <c r="D140" s="55">
        <v>1</v>
      </c>
      <c r="E140" s="55">
        <f t="shared" si="56"/>
        <v>1</v>
      </c>
      <c r="F140" s="616">
        <f>ROUND(E140/2,0)</f>
        <v>1</v>
      </c>
    </row>
    <row r="141" spans="1:17" x14ac:dyDescent="0.3">
      <c r="B141" s="493" t="s">
        <v>262</v>
      </c>
      <c r="C141" s="55"/>
      <c r="D141" s="55"/>
      <c r="E141" s="55">
        <f t="shared" si="56"/>
        <v>0</v>
      </c>
      <c r="F141" s="616">
        <f>ROUND(E141/2,0)</f>
        <v>0</v>
      </c>
    </row>
    <row r="142" spans="1:17" ht="14.5" thickBot="1" x14ac:dyDescent="0.35">
      <c r="B142" s="598" t="s">
        <v>684</v>
      </c>
      <c r="C142" s="600"/>
      <c r="D142" s="600">
        <v>1</v>
      </c>
      <c r="E142" s="600">
        <f t="shared" si="56"/>
        <v>1</v>
      </c>
      <c r="F142" s="617">
        <f>ROUND(E142/2,0)</f>
        <v>1</v>
      </c>
    </row>
    <row r="143" spans="1:17" ht="14.5" thickTop="1" x14ac:dyDescent="0.3">
      <c r="B143" s="493"/>
      <c r="C143" s="55">
        <f>SUM(C138:C142)</f>
        <v>8</v>
      </c>
      <c r="D143" s="55">
        <f>SUM(D138:D142)</f>
        <v>9</v>
      </c>
      <c r="E143" s="55">
        <f>SUM(E138:E142)</f>
        <v>9.5</v>
      </c>
      <c r="F143" s="55">
        <f>SUM(F138:F142)</f>
        <v>6</v>
      </c>
      <c r="Q143" s="8"/>
    </row>
    <row r="144" spans="1:17" x14ac:dyDescent="0.3">
      <c r="A144" s="30" t="s">
        <v>278</v>
      </c>
      <c r="B144" s="31"/>
      <c r="C144" s="32"/>
      <c r="D144" s="32"/>
      <c r="E144" s="32"/>
      <c r="F144" s="32"/>
      <c r="G144" s="31"/>
      <c r="H144" s="32"/>
      <c r="I144" s="30"/>
      <c r="J144" s="30"/>
      <c r="K144" s="30"/>
      <c r="L144" s="30"/>
      <c r="M144" s="30"/>
      <c r="N144" s="30"/>
      <c r="O144" s="30"/>
      <c r="Q144"/>
    </row>
    <row r="145" spans="1:17" x14ac:dyDescent="0.3">
      <c r="A145" s="414" t="s">
        <v>655</v>
      </c>
      <c r="B145" s="415"/>
      <c r="C145" s="416" t="s">
        <v>279</v>
      </c>
      <c r="D145" s="416" t="s">
        <v>280</v>
      </c>
      <c r="E145" s="436"/>
      <c r="F145" s="413" t="s">
        <v>281</v>
      </c>
      <c r="G145" s="434"/>
      <c r="H145" s="35"/>
      <c r="I145" s="35"/>
      <c r="J145" s="35"/>
      <c r="K145" s="35"/>
      <c r="L145" s="35"/>
      <c r="M145" s="435" t="s">
        <v>279</v>
      </c>
      <c r="N145" s="435" t="s">
        <v>280</v>
      </c>
      <c r="O145" s="82"/>
      <c r="Q145"/>
    </row>
    <row r="146" spans="1:17" x14ac:dyDescent="0.3">
      <c r="A146" s="411">
        <v>1</v>
      </c>
      <c r="B146" s="410" t="s">
        <v>282</v>
      </c>
      <c r="C146" s="430"/>
      <c r="D146" s="430">
        <v>1</v>
      </c>
      <c r="E146" s="88"/>
      <c r="F146" s="26">
        <v>1</v>
      </c>
      <c r="G146" s="8" t="s">
        <v>282</v>
      </c>
      <c r="M146" s="411"/>
      <c r="N146" s="411">
        <v>2</v>
      </c>
      <c r="Q146"/>
    </row>
    <row r="147" spans="1:17" x14ac:dyDescent="0.3">
      <c r="A147" s="411">
        <v>2</v>
      </c>
      <c r="B147" s="501" t="s">
        <v>283</v>
      </c>
      <c r="C147" s="430">
        <v>7</v>
      </c>
      <c r="D147" s="430"/>
      <c r="E147" s="88"/>
      <c r="F147" s="26">
        <v>2</v>
      </c>
      <c r="G147" s="8" t="s">
        <v>283</v>
      </c>
      <c r="M147" s="411">
        <v>8</v>
      </c>
      <c r="N147" s="411">
        <v>1</v>
      </c>
      <c r="Q147"/>
    </row>
    <row r="148" spans="1:17" x14ac:dyDescent="0.3">
      <c r="A148" s="411">
        <v>3</v>
      </c>
      <c r="B148" s="502" t="s">
        <v>284</v>
      </c>
      <c r="C148" s="430">
        <v>1</v>
      </c>
      <c r="D148" s="430"/>
      <c r="E148" s="88"/>
      <c r="F148" s="26">
        <v>3</v>
      </c>
      <c r="G148" s="8" t="s">
        <v>284</v>
      </c>
      <c r="M148" s="411">
        <v>1</v>
      </c>
      <c r="N148" s="411"/>
      <c r="Q148"/>
    </row>
    <row r="149" spans="1:17" x14ac:dyDescent="0.3">
      <c r="A149" s="411">
        <v>4</v>
      </c>
      <c r="B149" s="502" t="s">
        <v>656</v>
      </c>
      <c r="C149" s="430"/>
      <c r="D149" s="430">
        <v>18</v>
      </c>
      <c r="E149" s="88"/>
      <c r="F149" s="26">
        <v>4</v>
      </c>
      <c r="G149" s="53" t="s">
        <v>656</v>
      </c>
      <c r="M149" s="411"/>
      <c r="N149" s="411">
        <v>16</v>
      </c>
      <c r="Q149"/>
    </row>
    <row r="150" spans="1:17" x14ac:dyDescent="0.3">
      <c r="A150" s="411">
        <v>5</v>
      </c>
      <c r="B150" s="502" t="s">
        <v>285</v>
      </c>
      <c r="C150" s="430">
        <v>11</v>
      </c>
      <c r="D150" s="430">
        <v>5</v>
      </c>
      <c r="E150" s="88"/>
      <c r="F150" s="26">
        <v>5</v>
      </c>
      <c r="G150" s="8" t="s">
        <v>285</v>
      </c>
      <c r="M150" s="411">
        <v>12</v>
      </c>
      <c r="N150" s="411">
        <v>6</v>
      </c>
      <c r="Q150"/>
    </row>
    <row r="151" spans="1:17" x14ac:dyDescent="0.3">
      <c r="A151" s="411">
        <v>6</v>
      </c>
      <c r="B151" s="502" t="s">
        <v>287</v>
      </c>
      <c r="C151" s="430"/>
      <c r="D151" s="430">
        <v>1</v>
      </c>
      <c r="E151" s="88"/>
      <c r="F151" s="26">
        <v>6</v>
      </c>
      <c r="G151" s="53" t="s">
        <v>287</v>
      </c>
      <c r="M151" s="411"/>
      <c r="N151" s="411">
        <v>1</v>
      </c>
      <c r="Q151"/>
    </row>
    <row r="152" spans="1:17" x14ac:dyDescent="0.3">
      <c r="A152" s="411">
        <v>7</v>
      </c>
      <c r="B152" s="502" t="s">
        <v>658</v>
      </c>
      <c r="C152" s="430">
        <v>23</v>
      </c>
      <c r="D152" s="430"/>
      <c r="E152" s="88"/>
      <c r="F152" s="26">
        <v>7</v>
      </c>
      <c r="G152" s="8" t="s">
        <v>657</v>
      </c>
      <c r="M152" s="411">
        <v>22</v>
      </c>
      <c r="N152" s="411"/>
      <c r="Q152"/>
    </row>
    <row r="153" spans="1:17" x14ac:dyDescent="0.3">
      <c r="A153" s="411">
        <v>8</v>
      </c>
      <c r="B153" s="502" t="s">
        <v>286</v>
      </c>
      <c r="C153" s="430">
        <v>15</v>
      </c>
      <c r="D153" s="430">
        <v>16</v>
      </c>
      <c r="E153" s="88"/>
      <c r="F153" s="26">
        <v>8</v>
      </c>
      <c r="G153" s="8" t="s">
        <v>286</v>
      </c>
      <c r="M153" s="411">
        <v>10</v>
      </c>
      <c r="N153" s="411">
        <v>7</v>
      </c>
      <c r="Q153"/>
    </row>
    <row r="154" spans="1:17" x14ac:dyDescent="0.3">
      <c r="A154" s="412">
        <v>9</v>
      </c>
      <c r="B154" s="503" t="s">
        <v>288</v>
      </c>
      <c r="C154" s="431">
        <v>6</v>
      </c>
      <c r="D154" s="431">
        <v>16</v>
      </c>
      <c r="E154" s="437"/>
      <c r="F154" s="403">
        <v>9</v>
      </c>
      <c r="G154" s="25" t="s">
        <v>288</v>
      </c>
      <c r="H154" s="28"/>
      <c r="I154" s="28"/>
      <c r="J154" s="28"/>
      <c r="K154" s="28"/>
      <c r="L154" s="28"/>
      <c r="M154" s="412">
        <v>5</v>
      </c>
      <c r="N154" s="412">
        <v>6</v>
      </c>
      <c r="Q154"/>
    </row>
    <row r="155" spans="1:17" x14ac:dyDescent="0.3">
      <c r="F155" s="8"/>
      <c r="G155" s="432"/>
      <c r="H155" s="8"/>
      <c r="I155" s="8"/>
      <c r="Q155"/>
    </row>
    <row r="156" spans="1:17" x14ac:dyDescent="0.3">
      <c r="B156" s="397"/>
      <c r="C156" s="162"/>
      <c r="D156" s="162"/>
      <c r="E156" s="162"/>
      <c r="F156" s="162"/>
      <c r="G156" s="433"/>
      <c r="H156" s="162"/>
      <c r="I156" s="8"/>
      <c r="J156" s="8"/>
      <c r="K156" s="8"/>
      <c r="L156" s="8"/>
      <c r="M156" s="8"/>
      <c r="N156" s="8"/>
      <c r="O156" s="8"/>
      <c r="Q156"/>
    </row>
    <row r="157" spans="1:17" x14ac:dyDescent="0.3">
      <c r="B157" s="8"/>
      <c r="C157" s="162"/>
      <c r="D157" s="162"/>
      <c r="E157" s="162"/>
      <c r="F157" s="162"/>
      <c r="G157" s="162"/>
    </row>
  </sheetData>
  <sortState xmlns:xlrd2="http://schemas.microsoft.com/office/spreadsheetml/2017/richdata2" ref="S14:S26">
    <sortCondition ref="S14:S26"/>
  </sortState>
  <mergeCells count="64">
    <mergeCell ref="A84:B84"/>
    <mergeCell ref="A75:B76"/>
    <mergeCell ref="C75:D75"/>
    <mergeCell ref="E75:F75"/>
    <mergeCell ref="G75:H75"/>
    <mergeCell ref="M9:M10"/>
    <mergeCell ref="N9:N10"/>
    <mergeCell ref="M29:M30"/>
    <mergeCell ref="N29:N30"/>
    <mergeCell ref="M49:M50"/>
    <mergeCell ref="N49:N50"/>
    <mergeCell ref="B9:B10"/>
    <mergeCell ref="B29:B30"/>
    <mergeCell ref="B49:B50"/>
    <mergeCell ref="C49:D49"/>
    <mergeCell ref="E49:F49"/>
    <mergeCell ref="C9:D9"/>
    <mergeCell ref="E9:F9"/>
    <mergeCell ref="G49:H49"/>
    <mergeCell ref="I49:J49"/>
    <mergeCell ref="K49:L49"/>
    <mergeCell ref="C29:D29"/>
    <mergeCell ref="E29:F29"/>
    <mergeCell ref="G29:H29"/>
    <mergeCell ref="I29:J29"/>
    <mergeCell ref="K29:L29"/>
    <mergeCell ref="G9:H9"/>
    <mergeCell ref="I9:J9"/>
    <mergeCell ref="K9:L9"/>
    <mergeCell ref="A2:B3"/>
    <mergeCell ref="A1:Q1"/>
    <mergeCell ref="C2:D2"/>
    <mergeCell ref="E2:F2"/>
    <mergeCell ref="G2:H2"/>
    <mergeCell ref="I2:J2"/>
    <mergeCell ref="K2:L2"/>
    <mergeCell ref="Q2:Q3"/>
    <mergeCell ref="O2:O3"/>
    <mergeCell ref="M2:M3"/>
    <mergeCell ref="N2:N3"/>
    <mergeCell ref="O9:O10"/>
    <mergeCell ref="Q9:Q10"/>
    <mergeCell ref="O29:O30"/>
    <mergeCell ref="Q29:Q30"/>
    <mergeCell ref="O49:O50"/>
    <mergeCell ref="Q49:Q50"/>
    <mergeCell ref="K69:L69"/>
    <mergeCell ref="M69:M70"/>
    <mergeCell ref="Q69:Q70"/>
    <mergeCell ref="N69:N70"/>
    <mergeCell ref="O69:O70"/>
    <mergeCell ref="A69:B70"/>
    <mergeCell ref="C69:D69"/>
    <mergeCell ref="E69:F69"/>
    <mergeCell ref="G69:H69"/>
    <mergeCell ref="I69:J69"/>
    <mergeCell ref="F136:F137"/>
    <mergeCell ref="M75:M76"/>
    <mergeCell ref="N75:N76"/>
    <mergeCell ref="O75:O76"/>
    <mergeCell ref="Q75:Q76"/>
    <mergeCell ref="J115:J116"/>
    <mergeCell ref="K75:L75"/>
    <mergeCell ref="I75:J75"/>
  </mergeCells>
  <phoneticPr fontId="32" type="noConversion"/>
  <pageMargins left="0.5" right="0.5" top="0.75" bottom="0.5" header="0.3" footer="0.3"/>
  <pageSetup paperSize="3" scale="52" orientation="portrait" r:id="rId1"/>
  <headerFooter>
    <oddHeader>&amp;C&amp;"Arial,Bold"&amp;16DRAFT Supporting Statement, 10 CFR Part 26</oddHeader>
    <oddFooter>Page &amp;P of &amp;N</oddFooter>
  </headerFooter>
  <rowBreaks count="3" manualBreakCount="3">
    <brk id="47" max="17" man="1"/>
    <brk id="73" max="17" man="1"/>
    <brk id="143" max="17" man="1"/>
  </rowBreaks>
  <ignoredErrors>
    <ignoredError sqref="C108:E108 C117:H1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pageSetUpPr fitToPage="1"/>
  </sheetPr>
  <dimension ref="A1:S59"/>
  <sheetViews>
    <sheetView view="pageBreakPreview" zoomScaleNormal="80" zoomScaleSheetLayoutView="100" workbookViewId="0">
      <pane xSplit="2" ySplit="2" topLeftCell="C3" activePane="bottomRight" state="frozen"/>
      <selection activeCell="B23" sqref="B23:B28"/>
      <selection pane="topRight" activeCell="B23" sqref="B23:B28"/>
      <selection pane="bottomLeft" activeCell="B23" sqref="B23:B28"/>
      <selection pane="bottomRight" activeCell="B23" sqref="B23:B28"/>
    </sheetView>
  </sheetViews>
  <sheetFormatPr defaultRowHeight="14" x14ac:dyDescent="0.3"/>
  <cols>
    <col min="1" max="1" width="1.1640625" customWidth="1"/>
    <col min="2" max="2" width="51.1640625" customWidth="1"/>
    <col min="3" max="3" width="12.4140625" style="10" customWidth="1"/>
    <col min="4" max="4" width="11.6640625" customWidth="1"/>
    <col min="5" max="5" width="1.6640625" customWidth="1"/>
    <col min="6" max="6" width="36.08203125" customWidth="1"/>
    <col min="7" max="7" width="4" customWidth="1"/>
    <col min="8" max="8" width="6" customWidth="1"/>
    <col min="9" max="9" width="5.1640625" customWidth="1"/>
    <col min="10" max="10" width="4.08203125" customWidth="1"/>
    <col min="18" max="18" width="21.08203125" customWidth="1"/>
    <col min="19" max="19" width="11.6640625" customWidth="1"/>
  </cols>
  <sheetData>
    <row r="1" spans="1:19" ht="18" x14ac:dyDescent="0.4">
      <c r="A1" s="171"/>
      <c r="B1" s="393" t="s">
        <v>649</v>
      </c>
      <c r="C1" s="270"/>
      <c r="D1" s="171"/>
      <c r="E1" s="171"/>
      <c r="F1" s="171"/>
      <c r="G1" s="171"/>
      <c r="H1" s="171"/>
      <c r="I1" s="171"/>
      <c r="J1" s="171"/>
      <c r="K1" s="171"/>
      <c r="L1" s="171"/>
      <c r="M1" s="171"/>
      <c r="N1" s="171"/>
      <c r="O1" s="171"/>
      <c r="P1" s="171"/>
      <c r="Q1" s="171"/>
      <c r="R1" s="171"/>
      <c r="S1" s="171"/>
    </row>
    <row r="2" spans="1:19" x14ac:dyDescent="0.3">
      <c r="A2" s="117"/>
      <c r="B2" s="268" t="s">
        <v>289</v>
      </c>
      <c r="C2" s="269" t="s">
        <v>290</v>
      </c>
      <c r="D2" s="269" t="s">
        <v>291</v>
      </c>
      <c r="E2" s="269"/>
      <c r="F2" s="1167" t="s">
        <v>292</v>
      </c>
      <c r="G2" s="1167"/>
      <c r="H2" s="1167"/>
      <c r="I2" s="1167"/>
      <c r="J2" s="1167"/>
      <c r="K2" s="287"/>
      <c r="L2" s="288"/>
      <c r="M2" s="289"/>
      <c r="N2" s="290" t="s">
        <v>293</v>
      </c>
      <c r="O2" s="289"/>
      <c r="P2" s="289"/>
      <c r="Q2" s="289"/>
      <c r="R2" s="289"/>
      <c r="S2" s="117"/>
    </row>
    <row r="3" spans="1:19" x14ac:dyDescent="0.3">
      <c r="A3" s="117"/>
      <c r="B3" s="251" t="s">
        <v>294</v>
      </c>
      <c r="C3" s="252">
        <f>SUM(C4,C8)</f>
        <v>28</v>
      </c>
      <c r="D3" s="253" t="s">
        <v>295</v>
      </c>
      <c r="E3" s="173"/>
      <c r="F3" s="1161" t="s">
        <v>868</v>
      </c>
      <c r="G3" s="1161"/>
      <c r="H3" s="1161"/>
      <c r="I3" s="1161"/>
      <c r="J3" s="1161"/>
      <c r="K3" s="53" t="s">
        <v>943</v>
      </c>
      <c r="L3" s="8"/>
    </row>
    <row r="4" spans="1:19" x14ac:dyDescent="0.3">
      <c r="A4" s="117"/>
      <c r="B4" s="254" t="s">
        <v>296</v>
      </c>
      <c r="C4" s="255">
        <v>24</v>
      </c>
      <c r="D4" s="256" t="s">
        <v>295</v>
      </c>
      <c r="E4" s="173"/>
      <c r="F4" s="1161"/>
      <c r="G4" s="1161"/>
      <c r="H4" s="1161"/>
      <c r="I4" s="1161"/>
      <c r="J4" s="1161"/>
    </row>
    <row r="5" spans="1:19" x14ac:dyDescent="0.3">
      <c r="A5" s="117"/>
      <c r="B5" s="280" t="s">
        <v>297</v>
      </c>
      <c r="C5" s="174">
        <v>21</v>
      </c>
      <c r="D5" s="174"/>
      <c r="E5" s="173"/>
      <c r="F5" s="1161"/>
      <c r="G5" s="1161"/>
      <c r="H5" s="1161"/>
      <c r="I5" s="1161"/>
      <c r="J5" s="1161"/>
      <c r="K5" s="551"/>
      <c r="L5" s="551"/>
      <c r="M5" s="551"/>
      <c r="N5" s="551"/>
      <c r="O5" s="551"/>
      <c r="P5" s="551"/>
      <c r="Q5" s="551"/>
      <c r="R5" s="551"/>
    </row>
    <row r="6" spans="1:19" x14ac:dyDescent="0.3">
      <c r="A6" s="117"/>
      <c r="B6" s="280" t="s">
        <v>298</v>
      </c>
      <c r="C6" s="174">
        <v>2</v>
      </c>
      <c r="D6" s="174"/>
      <c r="E6" s="173"/>
      <c r="F6" s="1161"/>
      <c r="G6" s="1161"/>
      <c r="H6" s="1161"/>
      <c r="I6" s="1161"/>
      <c r="J6" s="1161"/>
      <c r="K6" s="551"/>
      <c r="L6" s="551"/>
      <c r="M6" s="551"/>
      <c r="N6" s="551"/>
      <c r="O6" s="551"/>
      <c r="P6" s="551"/>
      <c r="Q6" s="551"/>
      <c r="R6" s="551"/>
    </row>
    <row r="7" spans="1:19" x14ac:dyDescent="0.3">
      <c r="A7" s="117"/>
      <c r="B7" s="279" t="s">
        <v>299</v>
      </c>
      <c r="C7" s="253">
        <v>1</v>
      </c>
      <c r="D7" s="253"/>
      <c r="E7" s="173"/>
      <c r="F7" s="1161"/>
      <c r="G7" s="1161"/>
      <c r="H7" s="1161"/>
      <c r="I7" s="1161"/>
      <c r="J7" s="1161"/>
      <c r="K7" s="551"/>
      <c r="L7" s="551"/>
      <c r="M7" s="551"/>
      <c r="N7" s="551"/>
      <c r="O7" s="551"/>
      <c r="P7" s="551"/>
      <c r="Q7" s="551"/>
      <c r="R7" s="551"/>
    </row>
    <row r="8" spans="1:19" x14ac:dyDescent="0.3">
      <c r="A8" s="117"/>
      <c r="B8" s="258" t="s">
        <v>300</v>
      </c>
      <c r="C8" s="645">
        <v>4</v>
      </c>
      <c r="D8" s="253" t="s">
        <v>295</v>
      </c>
      <c r="E8" s="176"/>
      <c r="F8" s="1158"/>
      <c r="G8" s="1158"/>
      <c r="H8" s="1158"/>
      <c r="I8" s="1158"/>
      <c r="J8" s="1158"/>
      <c r="K8" s="53" t="s">
        <v>942</v>
      </c>
      <c r="L8" s="8"/>
    </row>
    <row r="9" spans="1:19" ht="14.4" customHeight="1" x14ac:dyDescent="0.3">
      <c r="A9" s="117"/>
      <c r="B9" s="259" t="s">
        <v>301</v>
      </c>
      <c r="C9" s="646">
        <f>SUM(C10:C14)</f>
        <v>64</v>
      </c>
      <c r="D9" s="256" t="s">
        <v>302</v>
      </c>
      <c r="E9" s="177"/>
      <c r="F9" s="1169" t="s">
        <v>868</v>
      </c>
      <c r="G9" s="1169"/>
      <c r="H9" s="1169"/>
      <c r="I9" s="1169"/>
      <c r="J9" s="1169"/>
      <c r="K9" s="8"/>
      <c r="L9" s="8"/>
    </row>
    <row r="10" spans="1:19" ht="45.75" customHeight="1" x14ac:dyDescent="0.3">
      <c r="A10" s="117"/>
      <c r="B10" s="281" t="s">
        <v>303</v>
      </c>
      <c r="C10" s="647">
        <v>53</v>
      </c>
      <c r="D10" s="384" t="s">
        <v>302</v>
      </c>
      <c r="E10" s="178"/>
      <c r="F10" s="1170" t="s">
        <v>869</v>
      </c>
      <c r="G10" s="1170"/>
      <c r="H10" s="1170"/>
      <c r="I10" s="1170"/>
      <c r="J10" s="1170"/>
      <c r="K10" s="1152" t="s">
        <v>683</v>
      </c>
      <c r="L10" s="1153"/>
      <c r="M10" s="1153"/>
      <c r="N10" s="1153"/>
      <c r="O10" s="1153"/>
      <c r="P10" s="1153"/>
      <c r="Q10" s="1153"/>
      <c r="R10" s="1153"/>
    </row>
    <row r="11" spans="1:19" ht="37.5" customHeight="1" x14ac:dyDescent="0.3">
      <c r="A11" s="117"/>
      <c r="B11" s="810" t="s">
        <v>304</v>
      </c>
      <c r="C11" s="647">
        <v>4</v>
      </c>
      <c r="D11" s="384" t="s">
        <v>302</v>
      </c>
      <c r="E11" s="173"/>
      <c r="F11" s="1171" t="s">
        <v>1222</v>
      </c>
      <c r="G11" s="1171"/>
      <c r="H11" s="1171"/>
      <c r="I11" s="1171"/>
      <c r="J11" s="1171"/>
      <c r="K11" s="507" t="s">
        <v>1223</v>
      </c>
      <c r="L11" s="507"/>
      <c r="M11" s="507"/>
      <c r="N11" s="507"/>
      <c r="O11" s="507"/>
      <c r="P11" s="507"/>
      <c r="Q11" s="507"/>
      <c r="R11" s="507"/>
      <c r="S11" s="188"/>
    </row>
    <row r="12" spans="1:19" ht="25.5" customHeight="1" x14ac:dyDescent="0.3">
      <c r="A12" s="117"/>
      <c r="B12" s="280" t="s">
        <v>305</v>
      </c>
      <c r="C12" s="648">
        <v>4</v>
      </c>
      <c r="D12" s="174" t="s">
        <v>302</v>
      </c>
      <c r="E12" s="173"/>
      <c r="F12" s="579" t="s">
        <v>946</v>
      </c>
      <c r="G12" s="579"/>
      <c r="H12" s="580"/>
      <c r="I12" s="580"/>
      <c r="J12" s="580"/>
      <c r="K12" s="1165" t="s">
        <v>852</v>
      </c>
      <c r="L12" s="1165"/>
      <c r="M12" s="1165"/>
      <c r="N12" s="1165"/>
      <c r="O12" s="1165"/>
      <c r="P12" s="1165"/>
      <c r="Q12" s="1165"/>
      <c r="R12" s="1165"/>
      <c r="S12" s="188"/>
    </row>
    <row r="13" spans="1:19" x14ac:dyDescent="0.3">
      <c r="A13" s="117"/>
      <c r="B13" s="280" t="s">
        <v>770</v>
      </c>
      <c r="C13" s="174">
        <v>2</v>
      </c>
      <c r="D13" s="174" t="s">
        <v>302</v>
      </c>
      <c r="E13" s="117"/>
      <c r="F13" s="242" t="s">
        <v>1220</v>
      </c>
      <c r="G13" s="242"/>
      <c r="H13" s="23"/>
      <c r="I13" s="23"/>
      <c r="J13" s="23"/>
      <c r="K13" s="88"/>
      <c r="L13" s="53"/>
      <c r="M13" s="188"/>
      <c r="N13" s="188"/>
      <c r="O13" s="188"/>
      <c r="P13" s="188"/>
      <c r="Q13" s="188"/>
      <c r="R13" s="188"/>
      <c r="S13" s="188"/>
    </row>
    <row r="14" spans="1:19" x14ac:dyDescent="0.3">
      <c r="A14" s="117"/>
      <c r="B14" s="279" t="s">
        <v>306</v>
      </c>
      <c r="C14" s="253">
        <v>1</v>
      </c>
      <c r="D14" s="253" t="s">
        <v>302</v>
      </c>
      <c r="E14" s="167"/>
      <c r="F14" s="243" t="s">
        <v>14</v>
      </c>
      <c r="G14" s="243"/>
      <c r="H14" s="122"/>
      <c r="I14" s="122"/>
      <c r="J14" s="122"/>
      <c r="K14" s="88"/>
      <c r="L14" s="53"/>
      <c r="M14" s="188"/>
      <c r="N14" s="188"/>
      <c r="O14" s="188"/>
      <c r="P14" s="188"/>
      <c r="Q14" s="188"/>
      <c r="R14" s="188"/>
      <c r="S14" s="188"/>
    </row>
    <row r="15" spans="1:19" x14ac:dyDescent="0.3">
      <c r="A15" s="117"/>
      <c r="B15" s="261" t="s">
        <v>307</v>
      </c>
      <c r="C15" s="262"/>
      <c r="D15" s="262"/>
      <c r="E15" s="117"/>
      <c r="F15" s="1168" t="s">
        <v>868</v>
      </c>
      <c r="G15" s="1168"/>
      <c r="H15" s="1168"/>
      <c r="I15" s="1168"/>
      <c r="J15" s="1168"/>
      <c r="K15" s="53"/>
      <c r="L15" s="53"/>
      <c r="M15" s="188"/>
      <c r="N15" s="188"/>
      <c r="O15" s="188"/>
      <c r="P15" s="188"/>
      <c r="Q15" s="188"/>
      <c r="R15" s="188"/>
      <c r="S15" s="188"/>
    </row>
    <row r="16" spans="1:19" x14ac:dyDescent="0.3">
      <c r="A16" s="117"/>
      <c r="B16" s="260" t="s">
        <v>308</v>
      </c>
      <c r="C16" s="648">
        <v>0</v>
      </c>
      <c r="D16" s="174" t="s">
        <v>309</v>
      </c>
      <c r="E16" s="117"/>
      <c r="F16" s="1159"/>
      <c r="G16" s="1159"/>
      <c r="H16" s="1159"/>
      <c r="I16" s="1159"/>
      <c r="J16" s="1159"/>
      <c r="K16" s="53" t="s">
        <v>867</v>
      </c>
      <c r="L16" s="53"/>
      <c r="M16" s="188"/>
      <c r="N16" s="188"/>
      <c r="O16" s="188"/>
      <c r="P16" s="188"/>
      <c r="Q16" s="188"/>
      <c r="R16" s="188"/>
      <c r="S16" s="188"/>
    </row>
    <row r="17" spans="1:19" x14ac:dyDescent="0.3">
      <c r="A17" s="117"/>
      <c r="B17" s="257" t="s">
        <v>310</v>
      </c>
      <c r="C17" s="253">
        <v>9</v>
      </c>
      <c r="D17" s="253" t="s">
        <v>311</v>
      </c>
      <c r="E17" s="167"/>
      <c r="F17" s="1160"/>
      <c r="G17" s="1160"/>
      <c r="H17" s="1160"/>
      <c r="I17" s="1160"/>
      <c r="J17" s="1160"/>
      <c r="K17" s="88"/>
      <c r="L17" s="88"/>
      <c r="M17" s="417"/>
      <c r="N17" s="417"/>
      <c r="O17" s="417"/>
      <c r="P17" s="417"/>
      <c r="Q17" s="417"/>
      <c r="R17" s="417"/>
      <c r="S17" s="188"/>
    </row>
    <row r="18" spans="1:19" x14ac:dyDescent="0.3">
      <c r="A18" s="117"/>
      <c r="B18" s="251" t="s">
        <v>312</v>
      </c>
      <c r="C18" s="252">
        <f>SUM(C19:C20)</f>
        <v>64</v>
      </c>
      <c r="D18" s="253" t="s">
        <v>302</v>
      </c>
      <c r="E18" s="117"/>
      <c r="F18" s="1159" t="s">
        <v>868</v>
      </c>
      <c r="G18" s="1159"/>
      <c r="H18" s="1159"/>
      <c r="I18" s="1159"/>
      <c r="J18" s="1159"/>
      <c r="K18" s="8"/>
      <c r="L18" s="8"/>
    </row>
    <row r="19" spans="1:19" x14ac:dyDescent="0.3">
      <c r="A19" s="117"/>
      <c r="B19" s="280" t="s">
        <v>313</v>
      </c>
      <c r="C19" s="648">
        <f>Num_LTFs</f>
        <v>0</v>
      </c>
      <c r="D19" s="174" t="s">
        <v>302</v>
      </c>
      <c r="E19" s="117"/>
      <c r="F19" s="1159"/>
      <c r="G19" s="1159"/>
      <c r="H19" s="1159"/>
      <c r="I19" s="1159"/>
      <c r="J19" s="1159"/>
      <c r="K19" s="53" t="s">
        <v>867</v>
      </c>
      <c r="L19" s="53"/>
      <c r="M19" s="188"/>
      <c r="N19" s="188"/>
      <c r="O19" s="188"/>
      <c r="P19" s="188"/>
      <c r="Q19" s="188"/>
      <c r="R19" s="188"/>
      <c r="S19" s="188"/>
    </row>
    <row r="20" spans="1:19" x14ac:dyDescent="0.3">
      <c r="A20" s="117"/>
      <c r="B20" s="279" t="s">
        <v>314</v>
      </c>
      <c r="C20" s="649">
        <f>C9-C19</f>
        <v>64</v>
      </c>
      <c r="D20" s="253" t="s">
        <v>302</v>
      </c>
      <c r="E20" s="167"/>
      <c r="F20" s="1160"/>
      <c r="G20" s="1160"/>
      <c r="H20" s="1160"/>
      <c r="I20" s="1160"/>
      <c r="J20" s="1160"/>
      <c r="K20" s="8"/>
      <c r="L20" s="8"/>
    </row>
    <row r="21" spans="1:19" ht="8" customHeight="1" x14ac:dyDescent="0.3">
      <c r="A21" s="117"/>
      <c r="B21" s="264"/>
      <c r="C21" s="174"/>
      <c r="D21" s="173"/>
      <c r="E21" s="117"/>
      <c r="F21" s="175"/>
      <c r="G21" s="175"/>
      <c r="H21" s="117"/>
      <c r="I21" s="117"/>
      <c r="J21" s="117"/>
      <c r="S21" s="117"/>
    </row>
    <row r="22" spans="1:19" x14ac:dyDescent="0.3">
      <c r="A22" s="117"/>
      <c r="B22" s="265" t="s">
        <v>315</v>
      </c>
      <c r="C22" s="252" t="s">
        <v>316</v>
      </c>
      <c r="D22" s="252" t="s">
        <v>317</v>
      </c>
      <c r="E22" s="117"/>
      <c r="F22" s="167"/>
      <c r="G22" s="167"/>
      <c r="H22" s="167"/>
      <c r="I22" s="167"/>
      <c r="J22" s="167"/>
    </row>
    <row r="23" spans="1:19" x14ac:dyDescent="0.3">
      <c r="A23" s="117"/>
      <c r="B23" s="241" t="s">
        <v>318</v>
      </c>
      <c r="C23" s="266">
        <f>SUM(C24:C28)</f>
        <v>107330.99999999999</v>
      </c>
      <c r="D23" s="266">
        <f>SUM(D24:D28)</f>
        <v>6008</v>
      </c>
      <c r="E23" s="117"/>
      <c r="F23" s="1159" t="s">
        <v>850</v>
      </c>
      <c r="G23" s="1159"/>
      <c r="H23" s="1159"/>
      <c r="I23" s="1159"/>
      <c r="J23" s="1159"/>
    </row>
    <row r="24" spans="1:19" x14ac:dyDescent="0.3">
      <c r="A24" s="117"/>
      <c r="B24" s="280" t="s">
        <v>319</v>
      </c>
      <c r="C24" s="553">
        <f>'Test Results'!C7</f>
        <v>60257</v>
      </c>
      <c r="D24" s="565">
        <f>('Test Results'!C79) * (Num_Sites_Reactors_Construction)</f>
        <v>4028</v>
      </c>
      <c r="E24" s="117"/>
      <c r="F24" s="1159"/>
      <c r="G24" s="1159"/>
      <c r="H24" s="1159"/>
      <c r="I24" s="1159"/>
      <c r="J24" s="1159"/>
    </row>
    <row r="25" spans="1:19" x14ac:dyDescent="0.3">
      <c r="A25" s="117"/>
      <c r="B25" s="280" t="s">
        <v>260</v>
      </c>
      <c r="C25" s="553">
        <f>'Test Results'!E7</f>
        <v>41888</v>
      </c>
      <c r="D25" s="267">
        <f>('Test Results'!E79) * (Num_Sites_Reactors_Construction)</f>
        <v>1668</v>
      </c>
      <c r="E25" s="117"/>
      <c r="F25" s="1159"/>
      <c r="G25" s="1159"/>
      <c r="H25" s="1159"/>
      <c r="I25" s="1159"/>
      <c r="J25" s="1159"/>
    </row>
    <row r="26" spans="1:19" x14ac:dyDescent="0.3">
      <c r="A26" s="117"/>
      <c r="B26" s="280" t="s">
        <v>261</v>
      </c>
      <c r="C26" s="553">
        <f>'Test Results'!G7</f>
        <v>171.33333333333334</v>
      </c>
      <c r="D26" s="267">
        <f>('Test Results'!G79) * (Num_Sites_Reactors_Construction)</f>
        <v>64</v>
      </c>
      <c r="E26" s="117"/>
      <c r="F26" s="1159"/>
      <c r="G26" s="1159"/>
      <c r="H26" s="1159"/>
      <c r="I26" s="1159"/>
      <c r="J26" s="1159"/>
    </row>
    <row r="27" spans="1:19" x14ac:dyDescent="0.3">
      <c r="A27" s="117"/>
      <c r="B27" s="280" t="s">
        <v>320</v>
      </c>
      <c r="C27" s="553">
        <f>'Test Results'!I7</f>
        <v>162.33333333333334</v>
      </c>
      <c r="D27" s="267">
        <f>('Test Results'!I79) * (Num_Sites_Reactors_Construction)</f>
        <v>116</v>
      </c>
      <c r="E27" s="117"/>
      <c r="F27" s="1159"/>
      <c r="G27" s="1159"/>
      <c r="H27" s="1159"/>
      <c r="I27" s="1159"/>
      <c r="J27" s="1159"/>
    </row>
    <row r="28" spans="1:19" x14ac:dyDescent="0.3">
      <c r="A28" s="117"/>
      <c r="B28" s="279" t="s">
        <v>684</v>
      </c>
      <c r="C28" s="554">
        <f>'Test Results'!K7</f>
        <v>4852.333333333333</v>
      </c>
      <c r="D28" s="209">
        <f>('Test Results'!K79) * (Num_Sites_Reactors_Construction)</f>
        <v>132</v>
      </c>
      <c r="E28" s="117"/>
      <c r="F28" s="1160"/>
      <c r="G28" s="1160"/>
      <c r="H28" s="1160"/>
      <c r="I28" s="1160"/>
      <c r="J28" s="1160"/>
    </row>
    <row r="29" spans="1:19" x14ac:dyDescent="0.3">
      <c r="A29" s="117"/>
      <c r="B29" s="241" t="s">
        <v>321</v>
      </c>
      <c r="C29" s="266">
        <f>SUM(C30:C34)</f>
        <v>758.99999999999989</v>
      </c>
      <c r="D29" s="266">
        <f>SUM(D30:D34)</f>
        <v>116</v>
      </c>
      <c r="E29" s="117"/>
      <c r="F29" s="1159" t="s">
        <v>850</v>
      </c>
      <c r="G29" s="1159"/>
      <c r="H29" s="1159"/>
      <c r="I29" s="1159"/>
      <c r="J29" s="1159"/>
    </row>
    <row r="30" spans="1:19" x14ac:dyDescent="0.3">
      <c r="A30" s="117"/>
      <c r="B30" s="280" t="s">
        <v>319</v>
      </c>
      <c r="C30" s="267">
        <f>'Test Results'!D7</f>
        <v>528</v>
      </c>
      <c r="D30" s="267">
        <f>('Test Results'!D79) * (Num_Sites_Reactors_Construction)</f>
        <v>84</v>
      </c>
      <c r="E30" s="117"/>
      <c r="F30" s="1159"/>
      <c r="G30" s="1159"/>
      <c r="H30" s="1159"/>
      <c r="I30" s="1159"/>
      <c r="J30" s="1159"/>
      <c r="M30" s="593"/>
      <c r="N30" s="594"/>
    </row>
    <row r="31" spans="1:19" x14ac:dyDescent="0.3">
      <c r="A31" s="117"/>
      <c r="B31" s="280" t="s">
        <v>260</v>
      </c>
      <c r="C31" s="267">
        <f>'Test Results'!F7</f>
        <v>166.66666666666666</v>
      </c>
      <c r="D31" s="267">
        <f>('Test Results'!F79) * (Num_Sites_Reactors_Construction)</f>
        <v>20</v>
      </c>
      <c r="E31" s="117"/>
      <c r="F31" s="1159"/>
      <c r="G31" s="1159"/>
      <c r="H31" s="1159"/>
      <c r="I31" s="1159"/>
      <c r="J31" s="1159"/>
    </row>
    <row r="32" spans="1:19" x14ac:dyDescent="0.3">
      <c r="A32" s="117"/>
      <c r="B32" s="280" t="s">
        <v>261</v>
      </c>
      <c r="C32" s="267">
        <f>'Test Results'!H7</f>
        <v>19.666666666666668</v>
      </c>
      <c r="D32" s="267">
        <f>('Test Results'!H79) * (Num_Sites_Reactors_Construction)</f>
        <v>4</v>
      </c>
      <c r="E32" s="117"/>
      <c r="F32" s="1159"/>
      <c r="G32" s="1159"/>
      <c r="H32" s="1159"/>
      <c r="I32" s="1159"/>
      <c r="J32" s="1159"/>
    </row>
    <row r="33" spans="1:15" x14ac:dyDescent="0.3">
      <c r="A33" s="117"/>
      <c r="B33" s="280" t="s">
        <v>320</v>
      </c>
      <c r="C33" s="267">
        <f>'Test Results'!J7</f>
        <v>2</v>
      </c>
      <c r="D33" s="267">
        <f>('Test Results'!J79) * (Num_Sites_Reactors_Construction)</f>
        <v>4</v>
      </c>
      <c r="E33" s="117"/>
      <c r="F33" s="1159"/>
      <c r="G33" s="1159"/>
      <c r="H33" s="1159"/>
      <c r="I33" s="1159"/>
      <c r="J33" s="1159"/>
    </row>
    <row r="34" spans="1:15" x14ac:dyDescent="0.3">
      <c r="A34" s="117"/>
      <c r="B34" s="279" t="s">
        <v>684</v>
      </c>
      <c r="C34" s="209">
        <f>'Test Results'!L7</f>
        <v>42.666666666666664</v>
      </c>
      <c r="D34" s="209">
        <f>('Test Results'!L79) * (Num_Sites_Reactors_Construction)</f>
        <v>4</v>
      </c>
      <c r="E34" s="117"/>
      <c r="F34" s="1160"/>
      <c r="G34" s="1160"/>
      <c r="H34" s="1160"/>
      <c r="I34" s="1160"/>
      <c r="J34" s="1160"/>
    </row>
    <row r="35" spans="1:15" x14ac:dyDescent="0.3">
      <c r="A35" s="117"/>
      <c r="B35" s="613" t="s">
        <v>887</v>
      </c>
      <c r="C35" s="209">
        <f>SUM(C36:C40)</f>
        <v>151.33333333333331</v>
      </c>
      <c r="D35" s="209">
        <f>SUM(D36:D40)</f>
        <v>24</v>
      </c>
      <c r="E35" s="117"/>
      <c r="F35" s="1159" t="s">
        <v>884</v>
      </c>
      <c r="G35" s="1159"/>
      <c r="H35" s="1159"/>
      <c r="I35" s="1159"/>
      <c r="J35" s="1159"/>
    </row>
    <row r="36" spans="1:15" x14ac:dyDescent="0.3">
      <c r="A36" s="117"/>
      <c r="B36" s="280" t="s">
        <v>319</v>
      </c>
      <c r="C36" s="267">
        <f>'Test Results'!J118</f>
        <v>78.333333333333329</v>
      </c>
      <c r="D36" s="650">
        <f>('Test Results'!F138) * (Num_Sites_Reactors_Construction)</f>
        <v>12</v>
      </c>
      <c r="E36" s="117"/>
      <c r="F36" s="1159"/>
      <c r="G36" s="1159"/>
      <c r="H36" s="1159"/>
      <c r="I36" s="1159"/>
      <c r="J36" s="1159"/>
    </row>
    <row r="37" spans="1:15" x14ac:dyDescent="0.3">
      <c r="A37" s="117"/>
      <c r="B37" s="280" t="s">
        <v>260</v>
      </c>
      <c r="C37" s="267">
        <f>'Test Results'!J119</f>
        <v>47.333333333333336</v>
      </c>
      <c r="D37" s="267">
        <f>('Test Results'!F139) * (Num_Sites_Reactors_Construction)</f>
        <v>4</v>
      </c>
      <c r="E37" s="117"/>
      <c r="F37" s="1159"/>
      <c r="G37" s="1159"/>
      <c r="H37" s="1159"/>
      <c r="I37" s="1159"/>
      <c r="J37" s="1159"/>
    </row>
    <row r="38" spans="1:15" x14ac:dyDescent="0.3">
      <c r="A38" s="117"/>
      <c r="B38" s="280" t="s">
        <v>261</v>
      </c>
      <c r="C38" s="267">
        <f>'Test Results'!J120</f>
        <v>10.666666666666666</v>
      </c>
      <c r="D38" s="267">
        <f>('Test Results'!F140) * (Num_Sites_Reactors_Construction)</f>
        <v>4</v>
      </c>
      <c r="E38" s="117"/>
      <c r="F38" s="1159"/>
      <c r="G38" s="1159"/>
      <c r="H38" s="1159"/>
      <c r="I38" s="1159"/>
      <c r="J38" s="1159"/>
    </row>
    <row r="39" spans="1:15" x14ac:dyDescent="0.3">
      <c r="A39" s="117"/>
      <c r="B39" s="280" t="s">
        <v>320</v>
      </c>
      <c r="C39" s="267">
        <f>'Test Results'!J121</f>
        <v>1</v>
      </c>
      <c r="D39" s="267">
        <f>('Test Results'!F141) * (Num_Sites_Reactors_Construction)</f>
        <v>0</v>
      </c>
      <c r="E39" s="117"/>
      <c r="F39" s="1159"/>
      <c r="G39" s="1159"/>
      <c r="H39" s="1159"/>
      <c r="I39" s="1159"/>
      <c r="J39" s="1159"/>
    </row>
    <row r="40" spans="1:15" x14ac:dyDescent="0.3">
      <c r="A40" s="117"/>
      <c r="B40" s="279" t="s">
        <v>684</v>
      </c>
      <c r="C40" s="209">
        <f>'Test Results'!J122</f>
        <v>14</v>
      </c>
      <c r="D40" s="209">
        <f>('Test Results'!F142) * (Num_Sites_Reactors_Construction)</f>
        <v>4</v>
      </c>
      <c r="E40" s="117"/>
      <c r="F40" s="1160"/>
      <c r="G40" s="1160"/>
      <c r="H40" s="1160"/>
      <c r="I40" s="1160"/>
      <c r="J40" s="1160"/>
    </row>
    <row r="41" spans="1:15" x14ac:dyDescent="0.3">
      <c r="A41" s="117"/>
      <c r="B41" s="241" t="s">
        <v>322</v>
      </c>
      <c r="C41" s="255" t="s">
        <v>316</v>
      </c>
      <c r="D41" s="255" t="s">
        <v>317</v>
      </c>
      <c r="E41" s="117"/>
      <c r="F41" s="1161" t="s">
        <v>850</v>
      </c>
      <c r="G41" s="1161"/>
      <c r="H41" s="1161"/>
      <c r="I41" s="1161"/>
      <c r="J41" s="1161"/>
    </row>
    <row r="42" spans="1:15" ht="28.5" customHeight="1" x14ac:dyDescent="0.3">
      <c r="A42" s="117"/>
      <c r="B42" s="227" t="s">
        <v>323</v>
      </c>
      <c r="C42" s="267">
        <f>'Test Results'!N7</f>
        <v>759</v>
      </c>
      <c r="D42" s="267">
        <f>('Test Results'!N79) * (Num_Sites_Reactors_Construction)</f>
        <v>116</v>
      </c>
      <c r="E42" s="117"/>
      <c r="F42" s="1161"/>
      <c r="G42" s="1161"/>
      <c r="H42" s="1161"/>
      <c r="I42" s="1161"/>
      <c r="J42" s="1161"/>
      <c r="N42" s="593"/>
    </row>
    <row r="43" spans="1:15" ht="30.65" customHeight="1" x14ac:dyDescent="0.3">
      <c r="A43" s="117"/>
      <c r="B43" s="226" t="s">
        <v>324</v>
      </c>
      <c r="C43" s="209">
        <f>'Test Results'!Q7</f>
        <v>604.66666666666663</v>
      </c>
      <c r="D43" s="209">
        <f>('Test Results'!Q79) * (Num_Sites_Reactors_Construction)</f>
        <v>92</v>
      </c>
      <c r="E43" s="117"/>
      <c r="F43" s="1158"/>
      <c r="G43" s="1158"/>
      <c r="H43" s="1158"/>
      <c r="I43" s="1158"/>
      <c r="J43" s="1158"/>
      <c r="N43" s="593"/>
    </row>
    <row r="44" spans="1:15" ht="95" customHeight="1" x14ac:dyDescent="0.3">
      <c r="A44" s="117"/>
      <c r="B44" s="555" t="s">
        <v>851</v>
      </c>
      <c r="C44" s="209">
        <f>ROUND(C43*(1+C45),0)</f>
        <v>738</v>
      </c>
      <c r="D44" s="209">
        <f>ROUND(D43*(1+D45),0)</f>
        <v>112</v>
      </c>
      <c r="E44" s="117"/>
      <c r="F44" s="1166" t="s">
        <v>947</v>
      </c>
      <c r="G44" s="1166"/>
      <c r="H44" s="1166"/>
      <c r="I44" s="1166"/>
      <c r="J44" s="1166"/>
      <c r="N44" s="593"/>
      <c r="O44" s="593"/>
    </row>
    <row r="45" spans="1:15" ht="25" x14ac:dyDescent="0.3">
      <c r="A45" s="117"/>
      <c r="B45" s="589" t="s">
        <v>873</v>
      </c>
      <c r="C45" s="590">
        <v>0.22</v>
      </c>
      <c r="D45" s="590">
        <v>0.22</v>
      </c>
      <c r="E45" s="117"/>
      <c r="F45" s="1166" t="s">
        <v>875</v>
      </c>
      <c r="G45" s="1166"/>
      <c r="H45" s="1166"/>
      <c r="I45" s="1166"/>
      <c r="J45" s="1166"/>
    </row>
    <row r="46" spans="1:15" ht="26.25" customHeight="1" x14ac:dyDescent="0.3">
      <c r="A46" s="117"/>
      <c r="B46" s="1155" t="s">
        <v>853</v>
      </c>
      <c r="C46" s="615" t="s">
        <v>316</v>
      </c>
      <c r="D46" s="615" t="s">
        <v>317</v>
      </c>
      <c r="E46" s="117"/>
      <c r="F46" s="1157" t="s">
        <v>870</v>
      </c>
      <c r="G46" s="1157"/>
      <c r="H46" s="1157"/>
      <c r="I46" s="1157"/>
      <c r="J46" s="1157"/>
    </row>
    <row r="47" spans="1:15" ht="44.25" customHeight="1" x14ac:dyDescent="0.3">
      <c r="A47" s="117"/>
      <c r="B47" s="1156"/>
      <c r="C47" s="209">
        <f>'Test Results'!G87</f>
        <v>76527.333333333328</v>
      </c>
      <c r="D47" s="566">
        <f xml:space="preserve"> ('Test Results'!C113) * (Num_Sites_Reactors_Construction)</f>
        <v>3100</v>
      </c>
      <c r="E47" s="117"/>
      <c r="F47" s="1158"/>
      <c r="G47" s="1158"/>
      <c r="H47" s="1158"/>
      <c r="I47" s="1158"/>
      <c r="J47" s="1158"/>
    </row>
    <row r="48" spans="1:15" x14ac:dyDescent="0.3">
      <c r="A48" s="117"/>
      <c r="B48" s="585" t="s">
        <v>783</v>
      </c>
      <c r="C48" s="174"/>
      <c r="D48" s="174"/>
      <c r="E48" s="117"/>
      <c r="F48" s="233"/>
      <c r="G48" s="233"/>
      <c r="H48" s="591">
        <v>2019</v>
      </c>
      <c r="I48" s="592">
        <v>2020</v>
      </c>
      <c r="J48" s="592">
        <v>2021</v>
      </c>
    </row>
    <row r="49" spans="1:18" x14ac:dyDescent="0.3">
      <c r="A49" s="117"/>
      <c r="B49" s="280" t="s">
        <v>325</v>
      </c>
      <c r="C49" s="271">
        <f>ROUND(AVERAGE(H49:J49),0)</f>
        <v>30</v>
      </c>
      <c r="D49" s="236" t="s">
        <v>326</v>
      </c>
      <c r="E49" s="117"/>
      <c r="F49" s="117"/>
      <c r="G49" s="234" t="s">
        <v>327</v>
      </c>
      <c r="H49" s="581">
        <v>31</v>
      </c>
      <c r="I49" s="271">
        <v>29</v>
      </c>
      <c r="J49" s="271">
        <v>30</v>
      </c>
      <c r="K49" s="53" t="s">
        <v>687</v>
      </c>
    </row>
    <row r="50" spans="1:18" x14ac:dyDescent="0.3">
      <c r="A50" s="117"/>
      <c r="B50" s="279" t="s">
        <v>328</v>
      </c>
      <c r="C50" s="272">
        <f>ROUND(AVERAGE(H50:J50),0)</f>
        <v>4</v>
      </c>
      <c r="D50" s="237" t="s">
        <v>326</v>
      </c>
      <c r="E50" s="117"/>
      <c r="F50" s="167"/>
      <c r="G50" s="208" t="s">
        <v>329</v>
      </c>
      <c r="H50" s="582">
        <v>5</v>
      </c>
      <c r="I50" s="272">
        <v>4</v>
      </c>
      <c r="J50" s="272">
        <v>4</v>
      </c>
      <c r="K50" s="53" t="s">
        <v>688</v>
      </c>
    </row>
    <row r="51" spans="1:18" x14ac:dyDescent="0.3">
      <c r="A51" s="117"/>
      <c r="B51" s="586" t="s">
        <v>781</v>
      </c>
      <c r="C51" s="587"/>
      <c r="D51" s="588"/>
      <c r="E51" s="117"/>
      <c r="F51" s="235"/>
      <c r="G51" s="235"/>
      <c r="H51" s="208"/>
      <c r="I51" s="208"/>
      <c r="J51" s="208"/>
    </row>
    <row r="52" spans="1:18" x14ac:dyDescent="0.3">
      <c r="A52" s="117"/>
      <c r="B52" s="280">
        <v>2019</v>
      </c>
      <c r="C52" s="271">
        <v>132</v>
      </c>
      <c r="D52" s="236" t="s">
        <v>330</v>
      </c>
      <c r="E52" s="117"/>
      <c r="F52" s="1162" t="s">
        <v>871</v>
      </c>
      <c r="G52" s="1162"/>
      <c r="H52" s="1162"/>
      <c r="I52" s="1162"/>
      <c r="J52" s="1162"/>
    </row>
    <row r="53" spans="1:18" x14ac:dyDescent="0.3">
      <c r="A53" s="117"/>
      <c r="B53" s="280">
        <v>2020</v>
      </c>
      <c r="C53" s="271">
        <v>151</v>
      </c>
      <c r="D53" s="236" t="s">
        <v>330</v>
      </c>
      <c r="E53" s="117"/>
      <c r="F53" s="1163"/>
      <c r="G53" s="1163"/>
      <c r="H53" s="1163"/>
      <c r="I53" s="1163"/>
      <c r="J53" s="1163"/>
      <c r="K53" s="53" t="s">
        <v>780</v>
      </c>
    </row>
    <row r="54" spans="1:18" x14ac:dyDescent="0.3">
      <c r="A54" s="117"/>
      <c r="B54" s="279">
        <v>2021</v>
      </c>
      <c r="C54" s="272">
        <v>182</v>
      </c>
      <c r="D54" s="237" t="s">
        <v>330</v>
      </c>
      <c r="E54" s="117"/>
      <c r="F54" s="1164"/>
      <c r="G54" s="1164"/>
      <c r="H54" s="1164"/>
      <c r="I54" s="1164"/>
      <c r="J54" s="1164"/>
    </row>
    <row r="55" spans="1:18" x14ac:dyDescent="0.3">
      <c r="A55" s="117"/>
      <c r="B55" s="279" t="s">
        <v>331</v>
      </c>
      <c r="C55" s="283">
        <f>AVERAGE(C52:C54)</f>
        <v>155</v>
      </c>
      <c r="D55" s="237"/>
      <c r="E55" s="117"/>
      <c r="F55" s="282"/>
      <c r="G55" s="282"/>
      <c r="H55" s="282"/>
      <c r="I55" s="282"/>
      <c r="J55" s="282"/>
      <c r="K55" s="53" t="s">
        <v>689</v>
      </c>
      <c r="L55" s="53"/>
      <c r="M55" s="53"/>
      <c r="N55" s="53"/>
      <c r="O55" s="53"/>
      <c r="P55" s="53"/>
      <c r="Q55" s="53"/>
      <c r="R55" s="53"/>
    </row>
    <row r="56" spans="1:18" ht="26.4" customHeight="1" x14ac:dyDescent="0.3">
      <c r="A56" s="117"/>
      <c r="B56" s="238" t="s">
        <v>332</v>
      </c>
      <c r="C56" s="552">
        <v>300</v>
      </c>
      <c r="D56" s="239" t="s">
        <v>333</v>
      </c>
      <c r="E56" s="117"/>
      <c r="F56" s="1154" t="s">
        <v>872</v>
      </c>
      <c r="G56" s="1154"/>
      <c r="H56" s="1154"/>
      <c r="I56" s="1154"/>
      <c r="J56" s="1154"/>
      <c r="K56" s="507" t="s">
        <v>849</v>
      </c>
    </row>
    <row r="57" spans="1:18" s="170" customFormat="1" ht="21" customHeight="1" x14ac:dyDescent="0.3">
      <c r="A57" s="172"/>
      <c r="B57" s="240" t="s">
        <v>334</v>
      </c>
      <c r="C57" s="273">
        <f>'FFD pgm &amp; sites'!A55</f>
        <v>21</v>
      </c>
      <c r="D57" s="383" t="s">
        <v>335</v>
      </c>
      <c r="E57" s="117"/>
      <c r="F57" s="583" t="s">
        <v>868</v>
      </c>
      <c r="G57" s="583"/>
      <c r="H57" s="584"/>
      <c r="I57" s="584"/>
      <c r="J57" s="584"/>
    </row>
    <row r="58" spans="1:18" x14ac:dyDescent="0.3">
      <c r="B58" s="8"/>
      <c r="C58" s="26"/>
      <c r="D58" s="8"/>
      <c r="F58" s="8"/>
      <c r="G58" s="8"/>
    </row>
    <row r="59" spans="1:18" x14ac:dyDescent="0.3">
      <c r="B59" s="8"/>
      <c r="C59" s="26"/>
      <c r="D59" s="8"/>
      <c r="E59" s="8"/>
      <c r="F59" s="8"/>
      <c r="G59" s="8"/>
    </row>
  </sheetData>
  <mergeCells count="19">
    <mergeCell ref="F2:J2"/>
    <mergeCell ref="F15:J17"/>
    <mergeCell ref="F9:J9"/>
    <mergeCell ref="F10:J10"/>
    <mergeCell ref="F3:J8"/>
    <mergeCell ref="F11:J11"/>
    <mergeCell ref="K10:R10"/>
    <mergeCell ref="F56:J56"/>
    <mergeCell ref="B46:B47"/>
    <mergeCell ref="F46:J47"/>
    <mergeCell ref="F18:J20"/>
    <mergeCell ref="F41:J43"/>
    <mergeCell ref="F23:J28"/>
    <mergeCell ref="F29:J34"/>
    <mergeCell ref="F52:J54"/>
    <mergeCell ref="K12:R12"/>
    <mergeCell ref="F45:J45"/>
    <mergeCell ref="F44:J44"/>
    <mergeCell ref="F35:J40"/>
  </mergeCells>
  <pageMargins left="0.75" right="0.75" top="0.75" bottom="0.75" header="0.5" footer="0.5"/>
  <pageSetup scale="49" orientation="landscape" r:id="rId1"/>
  <headerFooter>
    <oddHeader>&amp;C&amp;"Arial,Bold"&amp;16DRAFT Supporting Statement, 10 CFR Part 26</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O39"/>
  <sheetViews>
    <sheetView view="pageBreakPreview" zoomScaleNormal="70" zoomScaleSheetLayoutView="100" workbookViewId="0">
      <pane xSplit="4" ySplit="2" topLeftCell="H3" activePane="bottomRight" state="frozen"/>
      <selection activeCell="I10" sqref="I10"/>
      <selection pane="topRight" activeCell="I10" sqref="I10"/>
      <selection pane="bottomLeft" activeCell="I10" sqref="I10"/>
      <selection pane="bottomRight" activeCell="N5" sqref="N5"/>
    </sheetView>
  </sheetViews>
  <sheetFormatPr defaultColWidth="9" defaultRowHeight="14" x14ac:dyDescent="0.3"/>
  <cols>
    <col min="1" max="1" width="11.5" style="300" hidden="1" customWidth="1"/>
    <col min="2" max="2" width="13.4140625" style="2" hidden="1" customWidth="1"/>
    <col min="3" max="3" width="2.4140625" customWidth="1"/>
    <col min="4" max="4" width="44.5" style="2" customWidth="1"/>
    <col min="5" max="5" width="11.5" style="2" hidden="1" customWidth="1"/>
    <col min="6" max="6" width="13.9140625" style="2" hidden="1" customWidth="1"/>
    <col min="7" max="7" width="12.4140625" style="2" hidden="1" customWidth="1"/>
    <col min="8" max="8" width="14.08203125" style="4" customWidth="1"/>
    <col min="9" max="9" width="15.58203125" style="4" customWidth="1"/>
    <col min="10" max="10" width="11.9140625" style="4" customWidth="1"/>
    <col min="11" max="11" width="8.6640625" hidden="1" customWidth="1"/>
    <col min="12" max="12" width="44.6640625" style="2" hidden="1" customWidth="1"/>
    <col min="13" max="13" width="9.08203125" style="2" hidden="1" customWidth="1"/>
    <col min="14" max="14" width="36" style="2" customWidth="1"/>
    <col min="15" max="15" width="2" style="2" customWidth="1"/>
    <col min="16" max="16384" width="9" style="2"/>
  </cols>
  <sheetData>
    <row r="1" spans="1:15" ht="21" customHeight="1" x14ac:dyDescent="0.4">
      <c r="A1" s="513" t="s">
        <v>829</v>
      </c>
      <c r="B1" s="513" t="s">
        <v>829</v>
      </c>
      <c r="C1" s="879"/>
      <c r="D1" s="812" t="s">
        <v>796</v>
      </c>
      <c r="E1" s="1174" t="s">
        <v>762</v>
      </c>
      <c r="F1" s="1174"/>
      <c r="G1" s="1174"/>
      <c r="H1" s="1172" t="s">
        <v>1139</v>
      </c>
      <c r="I1" s="1173"/>
      <c r="J1" s="1173"/>
      <c r="K1" s="28"/>
      <c r="L1" s="813" t="s">
        <v>829</v>
      </c>
      <c r="M1" s="813" t="s">
        <v>829</v>
      </c>
      <c r="N1" s="814"/>
      <c r="O1" s="883"/>
    </row>
    <row r="2" spans="1:15" s="3" customFormat="1" ht="47.25" customHeight="1" thickBot="1" x14ac:dyDescent="0.35">
      <c r="A2" s="471" t="s">
        <v>370</v>
      </c>
      <c r="B2" s="473" t="s">
        <v>828</v>
      </c>
      <c r="C2" s="880"/>
      <c r="D2" s="815" t="s">
        <v>336</v>
      </c>
      <c r="E2" s="816" t="s">
        <v>795</v>
      </c>
      <c r="F2" s="816" t="s">
        <v>794</v>
      </c>
      <c r="G2" s="817" t="s">
        <v>797</v>
      </c>
      <c r="H2" s="818" t="s">
        <v>1209</v>
      </c>
      <c r="I2" s="819" t="s">
        <v>1062</v>
      </c>
      <c r="J2" s="816" t="s">
        <v>1063</v>
      </c>
      <c r="K2" s="820" t="s">
        <v>338</v>
      </c>
      <c r="L2" s="821" t="s">
        <v>339</v>
      </c>
      <c r="M2" s="821" t="s">
        <v>340</v>
      </c>
      <c r="N2" s="822" t="s">
        <v>830</v>
      </c>
      <c r="O2" s="879"/>
    </row>
    <row r="3" spans="1:15" ht="14.5" thickTop="1" x14ac:dyDescent="0.3">
      <c r="A3" s="300" t="s">
        <v>375</v>
      </c>
      <c r="B3" s="60"/>
      <c r="C3" s="879"/>
      <c r="D3" s="823" t="s">
        <v>341</v>
      </c>
      <c r="E3" s="824">
        <v>0</v>
      </c>
      <c r="F3" s="825">
        <f>336/3</f>
        <v>112</v>
      </c>
      <c r="G3" s="825">
        <f>E3*F3</f>
        <v>0</v>
      </c>
      <c r="H3" s="824">
        <v>0</v>
      </c>
      <c r="I3" s="825">
        <f>336/3</f>
        <v>112</v>
      </c>
      <c r="J3" s="825">
        <f>I3*H3</f>
        <v>0</v>
      </c>
      <c r="K3" s="826">
        <f t="shared" ref="K3:K36" si="0">J3-G3</f>
        <v>0</v>
      </c>
      <c r="L3" s="827"/>
      <c r="M3" s="828"/>
      <c r="N3" s="829"/>
      <c r="O3" s="879"/>
    </row>
    <row r="4" spans="1:15" x14ac:dyDescent="0.3">
      <c r="A4" s="300" t="s">
        <v>375</v>
      </c>
      <c r="B4" s="50"/>
      <c r="C4" s="879"/>
      <c r="D4" s="830" t="s">
        <v>342</v>
      </c>
      <c r="E4" s="824">
        <v>0</v>
      </c>
      <c r="F4" s="831">
        <f>636/3</f>
        <v>212</v>
      </c>
      <c r="G4" s="831">
        <f>E4*F4</f>
        <v>0</v>
      </c>
      <c r="H4" s="824">
        <v>0</v>
      </c>
      <c r="I4" s="831">
        <f>636/3</f>
        <v>212</v>
      </c>
      <c r="J4" s="831">
        <f>I4*H4</f>
        <v>0</v>
      </c>
      <c r="K4" s="826">
        <f t="shared" si="0"/>
        <v>0</v>
      </c>
      <c r="L4" s="827"/>
      <c r="M4" s="828"/>
      <c r="N4" s="829"/>
      <c r="O4" s="879"/>
    </row>
    <row r="5" spans="1:15" x14ac:dyDescent="0.3">
      <c r="A5" s="300" t="s">
        <v>375</v>
      </c>
      <c r="B5" s="50"/>
      <c r="C5" s="879"/>
      <c r="D5" s="830" t="s">
        <v>343</v>
      </c>
      <c r="E5" s="824">
        <v>0</v>
      </c>
      <c r="F5" s="831">
        <f>300/3</f>
        <v>100</v>
      </c>
      <c r="G5" s="831">
        <f>E5*F5</f>
        <v>0</v>
      </c>
      <c r="H5" s="824">
        <v>0</v>
      </c>
      <c r="I5" s="831">
        <f>300/3</f>
        <v>100</v>
      </c>
      <c r="J5" s="831">
        <f>I5*H5</f>
        <v>0</v>
      </c>
      <c r="K5" s="826">
        <f t="shared" si="0"/>
        <v>0</v>
      </c>
      <c r="L5" s="832"/>
      <c r="M5" s="833"/>
      <c r="N5" s="834"/>
      <c r="O5" s="879"/>
    </row>
    <row r="6" spans="1:15" ht="25" x14ac:dyDescent="0.3">
      <c r="B6" s="50"/>
      <c r="C6" s="879"/>
      <c r="D6" s="830" t="s">
        <v>344</v>
      </c>
      <c r="E6" s="835" t="s">
        <v>761</v>
      </c>
      <c r="F6" s="836"/>
      <c r="G6" s="836"/>
      <c r="H6" s="835" t="s">
        <v>761</v>
      </c>
      <c r="I6" s="836"/>
      <c r="J6" s="836"/>
      <c r="K6" s="826">
        <f t="shared" si="0"/>
        <v>0</v>
      </c>
      <c r="L6" s="832"/>
      <c r="M6" s="837"/>
      <c r="N6" s="838"/>
      <c r="O6" s="883"/>
    </row>
    <row r="7" spans="1:15" ht="50" x14ac:dyDescent="0.3">
      <c r="B7" s="51"/>
      <c r="C7" s="879"/>
      <c r="D7" s="830" t="s">
        <v>345</v>
      </c>
      <c r="E7" s="835" t="s">
        <v>761</v>
      </c>
      <c r="F7" s="836"/>
      <c r="G7" s="836"/>
      <c r="H7" s="835" t="s">
        <v>761</v>
      </c>
      <c r="I7" s="836"/>
      <c r="J7" s="836"/>
      <c r="K7" s="826">
        <f t="shared" si="0"/>
        <v>0</v>
      </c>
      <c r="L7" s="832"/>
      <c r="M7" s="837"/>
      <c r="N7" s="838"/>
      <c r="O7" s="883"/>
    </row>
    <row r="8" spans="1:15" ht="125" x14ac:dyDescent="0.3">
      <c r="A8" s="300" t="s">
        <v>375</v>
      </c>
      <c r="B8" s="61"/>
      <c r="C8" s="879"/>
      <c r="D8" s="839" t="s">
        <v>346</v>
      </c>
      <c r="E8" s="840">
        <v>1</v>
      </c>
      <c r="F8" s="831">
        <f>16/3</f>
        <v>5.333333333333333</v>
      </c>
      <c r="G8" s="831">
        <f>E8*F8</f>
        <v>5.333333333333333</v>
      </c>
      <c r="H8" s="840">
        <v>0</v>
      </c>
      <c r="I8" s="831">
        <f>16/3</f>
        <v>5.333333333333333</v>
      </c>
      <c r="J8" s="831">
        <f>H8*I8</f>
        <v>0</v>
      </c>
      <c r="K8" s="841">
        <f t="shared" si="0"/>
        <v>-5.333333333333333</v>
      </c>
      <c r="L8" s="832" t="s">
        <v>347</v>
      </c>
      <c r="M8" s="837" t="s">
        <v>348</v>
      </c>
      <c r="N8" s="842" t="s">
        <v>1182</v>
      </c>
      <c r="O8" s="883"/>
    </row>
    <row r="9" spans="1:15" ht="25" x14ac:dyDescent="0.3">
      <c r="B9" s="61"/>
      <c r="C9" s="879"/>
      <c r="D9" s="830" t="s">
        <v>349</v>
      </c>
      <c r="E9" s="835" t="s">
        <v>788</v>
      </c>
      <c r="F9" s="836"/>
      <c r="G9" s="836"/>
      <c r="H9" s="835" t="s">
        <v>1142</v>
      </c>
      <c r="I9" s="836"/>
      <c r="J9" s="836"/>
      <c r="K9" s="841">
        <f t="shared" si="0"/>
        <v>0</v>
      </c>
      <c r="L9" s="832"/>
      <c r="M9" s="837"/>
      <c r="N9" s="838"/>
      <c r="O9" s="883"/>
    </row>
    <row r="10" spans="1:15" ht="125" x14ac:dyDescent="0.3">
      <c r="A10" s="300" t="s">
        <v>375</v>
      </c>
      <c r="B10" s="61"/>
      <c r="C10" s="879"/>
      <c r="D10" s="839" t="s">
        <v>350</v>
      </c>
      <c r="E10" s="840">
        <v>1</v>
      </c>
      <c r="F10" s="831">
        <f>16/3</f>
        <v>5.333333333333333</v>
      </c>
      <c r="G10" s="831">
        <f>E10*F10</f>
        <v>5.333333333333333</v>
      </c>
      <c r="H10" s="840">
        <v>0</v>
      </c>
      <c r="I10" s="831">
        <f>16/3</f>
        <v>5.333333333333333</v>
      </c>
      <c r="J10" s="831">
        <f t="shared" ref="J10" si="1">H10*I10</f>
        <v>0</v>
      </c>
      <c r="K10" s="826">
        <f t="shared" si="0"/>
        <v>-5.333333333333333</v>
      </c>
      <c r="L10" s="832" t="s">
        <v>351</v>
      </c>
      <c r="M10" s="837" t="s">
        <v>348</v>
      </c>
      <c r="N10" s="842" t="s">
        <v>1183</v>
      </c>
      <c r="O10" s="883"/>
    </row>
    <row r="11" spans="1:15" ht="25" x14ac:dyDescent="0.3">
      <c r="A11" s="300" t="s">
        <v>375</v>
      </c>
      <c r="B11" s="62"/>
      <c r="C11" s="879"/>
      <c r="D11" s="830" t="s">
        <v>352</v>
      </c>
      <c r="E11" s="824">
        <v>0</v>
      </c>
      <c r="F11" s="831">
        <v>24</v>
      </c>
      <c r="G11" s="831">
        <f>E11*F11</f>
        <v>0</v>
      </c>
      <c r="H11" s="824">
        <v>0</v>
      </c>
      <c r="I11" s="831">
        <v>24</v>
      </c>
      <c r="J11" s="831">
        <f t="shared" ref="J11:J34" si="2">I11*H11</f>
        <v>0</v>
      </c>
      <c r="K11" s="826">
        <f t="shared" si="0"/>
        <v>0</v>
      </c>
      <c r="L11" s="832"/>
      <c r="M11" s="837"/>
      <c r="N11" s="838"/>
      <c r="O11" s="883"/>
    </row>
    <row r="12" spans="1:15" ht="25" x14ac:dyDescent="0.3">
      <c r="A12" s="300" t="s">
        <v>375</v>
      </c>
      <c r="B12" s="62"/>
      <c r="C12" s="879"/>
      <c r="D12" s="830" t="s">
        <v>353</v>
      </c>
      <c r="E12" s="824">
        <v>0</v>
      </c>
      <c r="F12" s="831">
        <v>120</v>
      </c>
      <c r="G12" s="831">
        <f>E12*F12</f>
        <v>0</v>
      </c>
      <c r="H12" s="824">
        <v>0</v>
      </c>
      <c r="I12" s="831">
        <v>120</v>
      </c>
      <c r="J12" s="831">
        <f t="shared" si="2"/>
        <v>0</v>
      </c>
      <c r="K12" s="826">
        <f t="shared" si="0"/>
        <v>0</v>
      </c>
      <c r="L12" s="832"/>
      <c r="M12" s="837"/>
      <c r="N12" s="838"/>
      <c r="O12" s="883"/>
    </row>
    <row r="13" spans="1:15" ht="100" x14ac:dyDescent="0.3">
      <c r="A13" s="300" t="s">
        <v>375</v>
      </c>
      <c r="B13" s="62"/>
      <c r="C13" s="879"/>
      <c r="D13" s="830" t="s">
        <v>1151</v>
      </c>
      <c r="E13" s="824">
        <v>0</v>
      </c>
      <c r="F13" s="831">
        <f>40/3</f>
        <v>13.333333333333334</v>
      </c>
      <c r="G13" s="831">
        <f t="shared" ref="G13:G17" si="3">E13*F13</f>
        <v>0</v>
      </c>
      <c r="H13" s="824">
        <v>0</v>
      </c>
      <c r="I13" s="831">
        <f xml:space="preserve"> (40 + 16)/3</f>
        <v>18.666666666666668</v>
      </c>
      <c r="J13" s="831">
        <f t="shared" si="2"/>
        <v>0</v>
      </c>
      <c r="K13" s="841">
        <f t="shared" si="0"/>
        <v>0</v>
      </c>
      <c r="L13" s="832"/>
      <c r="M13" s="837"/>
      <c r="N13" s="842" t="s">
        <v>1185</v>
      </c>
      <c r="O13" s="883"/>
    </row>
    <row r="14" spans="1:15" ht="50" x14ac:dyDescent="0.3">
      <c r="A14" s="300" t="s">
        <v>309</v>
      </c>
      <c r="B14" s="62"/>
      <c r="C14" s="879"/>
      <c r="D14" s="830" t="s">
        <v>354</v>
      </c>
      <c r="E14" s="824">
        <v>0</v>
      </c>
      <c r="F14" s="831">
        <f xml:space="preserve"> (40 * 6)/3</f>
        <v>80</v>
      </c>
      <c r="G14" s="831">
        <f t="shared" si="3"/>
        <v>0</v>
      </c>
      <c r="H14" s="824">
        <v>0</v>
      </c>
      <c r="I14" s="831">
        <f xml:space="preserve"> (40*6)/3</f>
        <v>80</v>
      </c>
      <c r="J14" s="831">
        <f t="shared" si="2"/>
        <v>0</v>
      </c>
      <c r="K14" s="841">
        <f t="shared" si="0"/>
        <v>0</v>
      </c>
      <c r="L14" s="832"/>
      <c r="M14" s="837"/>
      <c r="N14" s="843"/>
      <c r="O14" s="883"/>
    </row>
    <row r="15" spans="1:15" ht="25" x14ac:dyDescent="0.3">
      <c r="A15" s="300" t="s">
        <v>309</v>
      </c>
      <c r="B15" s="62"/>
      <c r="C15" s="879"/>
      <c r="D15" s="830" t="s">
        <v>355</v>
      </c>
      <c r="E15" s="824">
        <v>0</v>
      </c>
      <c r="F15" s="831">
        <v>13.3</v>
      </c>
      <c r="G15" s="831">
        <f t="shared" si="3"/>
        <v>0</v>
      </c>
      <c r="H15" s="824">
        <v>0</v>
      </c>
      <c r="I15" s="831">
        <f t="shared" ref="I15:I16" si="4">(40/3)</f>
        <v>13.333333333333334</v>
      </c>
      <c r="J15" s="831">
        <f t="shared" si="2"/>
        <v>0</v>
      </c>
      <c r="K15" s="841">
        <f t="shared" si="0"/>
        <v>0</v>
      </c>
      <c r="L15" s="832"/>
      <c r="M15" s="837"/>
      <c r="N15" s="838"/>
      <c r="O15" s="883"/>
    </row>
    <row r="16" spans="1:15" ht="82.5" customHeight="1" x14ac:dyDescent="0.3">
      <c r="A16" s="300" t="s">
        <v>375</v>
      </c>
      <c r="B16" s="61"/>
      <c r="C16" s="879"/>
      <c r="D16" s="839" t="s">
        <v>356</v>
      </c>
      <c r="E16" s="824">
        <v>3</v>
      </c>
      <c r="F16" s="831">
        <f>(40/3)</f>
        <v>13.333333333333334</v>
      </c>
      <c r="G16" s="831">
        <f t="shared" si="3"/>
        <v>40</v>
      </c>
      <c r="H16" s="824">
        <v>3</v>
      </c>
      <c r="I16" s="831">
        <f t="shared" si="4"/>
        <v>13.333333333333334</v>
      </c>
      <c r="J16" s="831">
        <f t="shared" si="2"/>
        <v>40</v>
      </c>
      <c r="K16" s="841">
        <f t="shared" si="0"/>
        <v>0</v>
      </c>
      <c r="L16" s="832" t="s">
        <v>357</v>
      </c>
      <c r="M16" s="837" t="s">
        <v>358</v>
      </c>
      <c r="N16" s="842" t="s">
        <v>1184</v>
      </c>
      <c r="O16" s="883"/>
    </row>
    <row r="17" spans="1:15" ht="37.5" x14ac:dyDescent="0.3">
      <c r="A17" s="300" t="s">
        <v>375</v>
      </c>
      <c r="B17" s="61"/>
      <c r="C17" s="879"/>
      <c r="D17" s="839" t="s">
        <v>359</v>
      </c>
      <c r="E17" s="824">
        <v>3</v>
      </c>
      <c r="F17" s="831">
        <f>40/3</f>
        <v>13.333333333333334</v>
      </c>
      <c r="G17" s="831">
        <f t="shared" si="3"/>
        <v>40</v>
      </c>
      <c r="H17" s="824">
        <v>3</v>
      </c>
      <c r="I17" s="831">
        <f>(40/3)</f>
        <v>13.333333333333334</v>
      </c>
      <c r="J17" s="831">
        <f t="shared" si="2"/>
        <v>40</v>
      </c>
      <c r="K17" s="841">
        <f t="shared" si="0"/>
        <v>0</v>
      </c>
      <c r="L17" s="832"/>
      <c r="M17" s="837"/>
      <c r="N17" s="844"/>
      <c r="O17" s="883"/>
    </row>
    <row r="18" spans="1:15" ht="50" x14ac:dyDescent="0.3">
      <c r="B18" s="485" t="s">
        <v>826</v>
      </c>
      <c r="C18" s="879"/>
      <c r="D18" s="845" t="s">
        <v>805</v>
      </c>
      <c r="E18" s="835" t="s">
        <v>755</v>
      </c>
      <c r="F18" s="846"/>
      <c r="G18" s="847"/>
      <c r="H18" s="848" t="s">
        <v>806</v>
      </c>
      <c r="I18" s="849"/>
      <c r="J18" s="847"/>
      <c r="K18" s="826">
        <f t="shared" si="0"/>
        <v>0</v>
      </c>
      <c r="L18" s="832"/>
      <c r="M18" s="837"/>
      <c r="N18" s="842"/>
      <c r="O18" s="883"/>
    </row>
    <row r="19" spans="1:15" ht="37.5" x14ac:dyDescent="0.3">
      <c r="B19" s="485" t="s">
        <v>827</v>
      </c>
      <c r="C19" s="879"/>
      <c r="D19" s="850" t="s">
        <v>837</v>
      </c>
      <c r="E19" s="835" t="s">
        <v>755</v>
      </c>
      <c r="F19" s="846"/>
      <c r="G19" s="847"/>
      <c r="H19" s="835" t="s">
        <v>755</v>
      </c>
      <c r="I19" s="846"/>
      <c r="J19" s="847"/>
      <c r="K19" s="826">
        <f t="shared" si="0"/>
        <v>0</v>
      </c>
      <c r="L19" s="832"/>
      <c r="M19" s="837"/>
      <c r="N19" s="838"/>
      <c r="O19" s="883"/>
    </row>
    <row r="20" spans="1:15" ht="50" x14ac:dyDescent="0.3">
      <c r="B20" s="50"/>
      <c r="C20" s="879"/>
      <c r="D20" s="830" t="s">
        <v>807</v>
      </c>
      <c r="E20" s="835" t="s">
        <v>755</v>
      </c>
      <c r="F20" s="846"/>
      <c r="G20" s="847"/>
      <c r="H20" s="835" t="s">
        <v>755</v>
      </c>
      <c r="I20" s="846"/>
      <c r="J20" s="847"/>
      <c r="K20" s="826">
        <f t="shared" si="0"/>
        <v>0</v>
      </c>
      <c r="L20" s="832"/>
      <c r="M20" s="837"/>
      <c r="N20" s="838"/>
      <c r="O20" s="883"/>
    </row>
    <row r="21" spans="1:15" ht="25" x14ac:dyDescent="0.3">
      <c r="A21" s="300" t="s">
        <v>487</v>
      </c>
      <c r="B21" s="62"/>
      <c r="C21" s="879"/>
      <c r="D21" s="830" t="s">
        <v>360</v>
      </c>
      <c r="E21" s="824">
        <v>0</v>
      </c>
      <c r="F21" s="831">
        <v>7.3</v>
      </c>
      <c r="G21" s="831">
        <f t="shared" ref="G21:G28" si="5">E21*F21</f>
        <v>0</v>
      </c>
      <c r="H21" s="824">
        <v>0</v>
      </c>
      <c r="I21" s="851">
        <v>7.3</v>
      </c>
      <c r="J21" s="852">
        <f t="shared" si="2"/>
        <v>0</v>
      </c>
      <c r="K21" s="826">
        <f t="shared" si="0"/>
        <v>0</v>
      </c>
      <c r="L21" s="832"/>
      <c r="M21" s="837"/>
      <c r="N21" s="838"/>
      <c r="O21" s="883"/>
    </row>
    <row r="22" spans="1:15" ht="25" x14ac:dyDescent="0.3">
      <c r="A22" s="300" t="s">
        <v>487</v>
      </c>
      <c r="B22" s="62"/>
      <c r="C22" s="879"/>
      <c r="D22" s="830" t="s">
        <v>361</v>
      </c>
      <c r="E22" s="824">
        <v>0</v>
      </c>
      <c r="F22" s="831">
        <v>1.7</v>
      </c>
      <c r="G22" s="831">
        <f t="shared" si="5"/>
        <v>0</v>
      </c>
      <c r="H22" s="824">
        <v>0</v>
      </c>
      <c r="I22" s="851">
        <v>1.7</v>
      </c>
      <c r="J22" s="852">
        <f t="shared" si="2"/>
        <v>0</v>
      </c>
      <c r="K22" s="826">
        <f t="shared" si="0"/>
        <v>0</v>
      </c>
      <c r="L22" s="832"/>
      <c r="M22" s="837"/>
      <c r="N22" s="838"/>
      <c r="O22" s="883"/>
    </row>
    <row r="23" spans="1:15" x14ac:dyDescent="0.3">
      <c r="A23" s="300" t="s">
        <v>487</v>
      </c>
      <c r="B23" s="62"/>
      <c r="C23" s="879"/>
      <c r="D23" s="830" t="s">
        <v>362</v>
      </c>
      <c r="E23" s="824">
        <v>0</v>
      </c>
      <c r="F23" s="831">
        <v>2</v>
      </c>
      <c r="G23" s="831">
        <f t="shared" si="5"/>
        <v>0</v>
      </c>
      <c r="H23" s="824">
        <v>0</v>
      </c>
      <c r="I23" s="851">
        <v>2</v>
      </c>
      <c r="J23" s="852">
        <f t="shared" si="2"/>
        <v>0</v>
      </c>
      <c r="K23" s="826">
        <f t="shared" si="0"/>
        <v>0</v>
      </c>
      <c r="L23" s="832"/>
      <c r="M23" s="837"/>
      <c r="N23" s="838"/>
      <c r="O23" s="883"/>
    </row>
    <row r="24" spans="1:15" x14ac:dyDescent="0.3">
      <c r="A24" s="300" t="s">
        <v>487</v>
      </c>
      <c r="B24" s="62"/>
      <c r="C24" s="879"/>
      <c r="D24" s="830" t="s">
        <v>363</v>
      </c>
      <c r="E24" s="824">
        <v>0</v>
      </c>
      <c r="F24" s="831">
        <v>7.7</v>
      </c>
      <c r="G24" s="831">
        <f t="shared" si="5"/>
        <v>0</v>
      </c>
      <c r="H24" s="824">
        <v>0</v>
      </c>
      <c r="I24" s="851">
        <v>7.7</v>
      </c>
      <c r="J24" s="852">
        <f t="shared" si="2"/>
        <v>0</v>
      </c>
      <c r="K24" s="826">
        <f t="shared" si="0"/>
        <v>0</v>
      </c>
      <c r="L24" s="832"/>
      <c r="M24" s="837"/>
      <c r="N24" s="838"/>
      <c r="O24" s="883"/>
    </row>
    <row r="25" spans="1:15" x14ac:dyDescent="0.3">
      <c r="A25" s="300" t="s">
        <v>487</v>
      </c>
      <c r="B25" s="62"/>
      <c r="C25" s="879"/>
      <c r="D25" s="830" t="s">
        <v>364</v>
      </c>
      <c r="E25" s="824">
        <v>0</v>
      </c>
      <c r="F25" s="831">
        <v>2</v>
      </c>
      <c r="G25" s="831">
        <f t="shared" si="5"/>
        <v>0</v>
      </c>
      <c r="H25" s="824">
        <v>0</v>
      </c>
      <c r="I25" s="851">
        <v>2</v>
      </c>
      <c r="J25" s="852">
        <f t="shared" si="2"/>
        <v>0</v>
      </c>
      <c r="K25" s="826">
        <f t="shared" si="0"/>
        <v>0</v>
      </c>
      <c r="L25" s="832"/>
      <c r="M25" s="837"/>
      <c r="N25" s="838"/>
      <c r="O25" s="883"/>
    </row>
    <row r="26" spans="1:15" ht="25" x14ac:dyDescent="0.3">
      <c r="B26" s="50"/>
      <c r="C26" s="879"/>
      <c r="D26" s="830" t="s">
        <v>365</v>
      </c>
      <c r="E26" s="835" t="s">
        <v>756</v>
      </c>
      <c r="F26" s="853"/>
      <c r="G26" s="853"/>
      <c r="H26" s="835" t="s">
        <v>756</v>
      </c>
      <c r="I26" s="853"/>
      <c r="J26" s="853"/>
      <c r="K26" s="826">
        <f t="shared" si="0"/>
        <v>0</v>
      </c>
      <c r="L26" s="832"/>
      <c r="M26" s="837"/>
      <c r="N26" s="838"/>
      <c r="O26" s="883"/>
    </row>
    <row r="27" spans="1:15" ht="100" x14ac:dyDescent="0.3">
      <c r="A27" s="300" t="s">
        <v>317</v>
      </c>
      <c r="B27" s="50"/>
      <c r="C27" s="879"/>
      <c r="D27" s="854" t="s">
        <v>831</v>
      </c>
      <c r="E27" s="824">
        <v>0</v>
      </c>
      <c r="F27" s="831">
        <v>112</v>
      </c>
      <c r="G27" s="831">
        <f t="shared" si="5"/>
        <v>0</v>
      </c>
      <c r="H27" s="855">
        <f>Num_FFD_Prgms_SubK</f>
        <v>4</v>
      </c>
      <c r="I27" s="851">
        <v>112</v>
      </c>
      <c r="J27" s="852">
        <f t="shared" si="2"/>
        <v>448</v>
      </c>
      <c r="K27" s="826">
        <f t="shared" si="0"/>
        <v>448</v>
      </c>
      <c r="L27" s="832"/>
      <c r="M27" s="837"/>
      <c r="N27" s="856" t="s">
        <v>1214</v>
      </c>
      <c r="O27" s="883"/>
    </row>
    <row r="28" spans="1:15" ht="25" x14ac:dyDescent="0.3">
      <c r="A28" s="300" t="s">
        <v>317</v>
      </c>
      <c r="B28" s="50"/>
      <c r="C28" s="879"/>
      <c r="D28" s="854" t="s">
        <v>832</v>
      </c>
      <c r="E28" s="824">
        <v>0</v>
      </c>
      <c r="F28" s="831">
        <v>216</v>
      </c>
      <c r="G28" s="831">
        <f t="shared" si="5"/>
        <v>0</v>
      </c>
      <c r="H28" s="855">
        <f>Num_FFD_Prgms_SubK</f>
        <v>4</v>
      </c>
      <c r="I28" s="851">
        <v>216</v>
      </c>
      <c r="J28" s="852">
        <f t="shared" si="2"/>
        <v>864</v>
      </c>
      <c r="K28" s="826">
        <f t="shared" si="0"/>
        <v>864</v>
      </c>
      <c r="L28" s="832"/>
      <c r="M28" s="837"/>
      <c r="N28" s="844"/>
      <c r="O28" s="883"/>
    </row>
    <row r="29" spans="1:15" ht="25" x14ac:dyDescent="0.3">
      <c r="B29" s="39"/>
      <c r="C29" s="879"/>
      <c r="D29" s="857" t="s">
        <v>366</v>
      </c>
      <c r="E29" s="858" t="s">
        <v>757</v>
      </c>
      <c r="F29" s="859"/>
      <c r="G29" s="853"/>
      <c r="H29" s="858" t="s">
        <v>757</v>
      </c>
      <c r="I29" s="859"/>
      <c r="J29" s="853"/>
      <c r="K29" s="826">
        <f t="shared" si="0"/>
        <v>0</v>
      </c>
      <c r="L29" s="832"/>
      <c r="M29" s="837"/>
      <c r="N29" s="838"/>
      <c r="O29" s="883"/>
    </row>
    <row r="30" spans="1:15" ht="50" x14ac:dyDescent="0.3">
      <c r="B30" s="51"/>
      <c r="C30" s="879"/>
      <c r="D30" s="857" t="s">
        <v>367</v>
      </c>
      <c r="E30" s="858" t="s">
        <v>758</v>
      </c>
      <c r="F30" s="859"/>
      <c r="G30" s="853"/>
      <c r="H30" s="858" t="s">
        <v>758</v>
      </c>
      <c r="I30" s="859"/>
      <c r="J30" s="853"/>
      <c r="K30" s="826">
        <f t="shared" si="0"/>
        <v>0</v>
      </c>
      <c r="L30" s="832"/>
      <c r="M30" s="837"/>
      <c r="N30" s="838"/>
      <c r="O30" s="883"/>
    </row>
    <row r="31" spans="1:15" ht="37.5" x14ac:dyDescent="0.3">
      <c r="B31" s="50"/>
      <c r="C31" s="879"/>
      <c r="D31" s="854" t="s">
        <v>368</v>
      </c>
      <c r="E31" s="824">
        <v>0</v>
      </c>
      <c r="F31" s="831">
        <v>40</v>
      </c>
      <c r="G31" s="831">
        <f t="shared" ref="G31:G35" si="6">E31*F31</f>
        <v>0</v>
      </c>
      <c r="H31" s="852">
        <v>0</v>
      </c>
      <c r="I31" s="851">
        <v>40</v>
      </c>
      <c r="J31" s="852">
        <f t="shared" si="2"/>
        <v>0</v>
      </c>
      <c r="K31" s="826">
        <f t="shared" si="0"/>
        <v>0</v>
      </c>
      <c r="L31" s="832"/>
      <c r="M31" s="837"/>
      <c r="N31" s="838"/>
      <c r="O31" s="883"/>
    </row>
    <row r="32" spans="1:15" ht="37.5" x14ac:dyDescent="0.3">
      <c r="B32" s="50"/>
      <c r="C32" s="879"/>
      <c r="D32" s="854" t="s">
        <v>369</v>
      </c>
      <c r="E32" s="824">
        <v>0</v>
      </c>
      <c r="F32" s="831">
        <v>40</v>
      </c>
      <c r="G32" s="831">
        <f t="shared" si="6"/>
        <v>0</v>
      </c>
      <c r="H32" s="852">
        <v>0</v>
      </c>
      <c r="I32" s="851">
        <v>40</v>
      </c>
      <c r="J32" s="852">
        <f t="shared" si="2"/>
        <v>0</v>
      </c>
      <c r="K32" s="826">
        <f t="shared" si="0"/>
        <v>0</v>
      </c>
      <c r="L32" s="832"/>
      <c r="M32" s="837"/>
      <c r="N32" s="838"/>
      <c r="O32" s="883"/>
    </row>
    <row r="33" spans="1:15" ht="25" x14ac:dyDescent="0.3">
      <c r="A33" s="300" t="s">
        <v>317</v>
      </c>
      <c r="B33" s="50"/>
      <c r="C33" s="879"/>
      <c r="D33" s="854" t="s">
        <v>834</v>
      </c>
      <c r="E33" s="824">
        <v>0</v>
      </c>
      <c r="F33" s="831">
        <v>40</v>
      </c>
      <c r="G33" s="831">
        <f t="shared" si="6"/>
        <v>0</v>
      </c>
      <c r="H33" s="855">
        <f>Num_FFD_Prgms_SubK</f>
        <v>4</v>
      </c>
      <c r="I33" s="851">
        <v>40</v>
      </c>
      <c r="J33" s="852">
        <f t="shared" si="2"/>
        <v>160</v>
      </c>
      <c r="K33" s="826">
        <f t="shared" si="0"/>
        <v>160</v>
      </c>
      <c r="L33" s="832"/>
      <c r="M33" s="837"/>
      <c r="N33" s="844"/>
      <c r="O33" s="883"/>
    </row>
    <row r="34" spans="1:15" ht="50" x14ac:dyDescent="0.3">
      <c r="A34" s="300" t="s">
        <v>317</v>
      </c>
      <c r="B34" s="51"/>
      <c r="C34" s="879"/>
      <c r="D34" s="854" t="s">
        <v>833</v>
      </c>
      <c r="E34" s="824">
        <v>0</v>
      </c>
      <c r="F34" s="831">
        <v>40</v>
      </c>
      <c r="G34" s="831">
        <f t="shared" si="6"/>
        <v>0</v>
      </c>
      <c r="H34" s="855">
        <f>Num_FFD_Prgms_SubK</f>
        <v>4</v>
      </c>
      <c r="I34" s="851">
        <v>40</v>
      </c>
      <c r="J34" s="852">
        <f t="shared" si="2"/>
        <v>160</v>
      </c>
      <c r="K34" s="826">
        <f t="shared" si="0"/>
        <v>160</v>
      </c>
      <c r="L34" s="832"/>
      <c r="M34" s="837"/>
      <c r="N34" s="844"/>
      <c r="O34" s="883"/>
    </row>
    <row r="35" spans="1:15" ht="37.5" x14ac:dyDescent="0.3">
      <c r="A35" s="300" t="s">
        <v>317</v>
      </c>
      <c r="B35" s="50"/>
      <c r="C35" s="879"/>
      <c r="D35" s="854" t="s">
        <v>838</v>
      </c>
      <c r="E35" s="824">
        <v>0</v>
      </c>
      <c r="F35" s="831">
        <v>120</v>
      </c>
      <c r="G35" s="831">
        <f t="shared" si="6"/>
        <v>0</v>
      </c>
      <c r="H35" s="855">
        <f>Num_FFD_Prgms_SubK</f>
        <v>4</v>
      </c>
      <c r="I35" s="851">
        <v>120</v>
      </c>
      <c r="J35" s="852">
        <f t="shared" ref="J35" si="7">I35*H35</f>
        <v>480</v>
      </c>
      <c r="K35" s="860">
        <f t="shared" si="0"/>
        <v>480</v>
      </c>
      <c r="L35" s="861"/>
      <c r="M35" s="862"/>
      <c r="N35" s="844"/>
      <c r="O35" s="883"/>
    </row>
    <row r="36" spans="1:15" ht="50.5" thickBot="1" x14ac:dyDescent="0.35">
      <c r="B36" s="40"/>
      <c r="C36" s="879"/>
      <c r="D36" s="863" t="s">
        <v>759</v>
      </c>
      <c r="E36" s="864" t="s">
        <v>760</v>
      </c>
      <c r="F36" s="865"/>
      <c r="G36" s="865"/>
      <c r="H36" s="864" t="s">
        <v>760</v>
      </c>
      <c r="I36" s="865"/>
      <c r="J36" s="866"/>
      <c r="K36" s="867">
        <f t="shared" si="0"/>
        <v>0</v>
      </c>
      <c r="L36" s="868"/>
      <c r="M36" s="869"/>
      <c r="N36" s="870"/>
      <c r="O36" s="883"/>
    </row>
    <row r="37" spans="1:15" ht="14.5" thickTop="1" x14ac:dyDescent="0.3">
      <c r="B37" s="476"/>
      <c r="C37" s="879"/>
      <c r="D37" s="871" t="s">
        <v>277</v>
      </c>
      <c r="E37" s="872"/>
      <c r="F37" s="872"/>
      <c r="G37" s="873">
        <f>SUM(G3:G36)</f>
        <v>90.666666666666657</v>
      </c>
      <c r="H37" s="874"/>
      <c r="I37" s="875"/>
      <c r="J37" s="873">
        <f>SUM(J3:J36)</f>
        <v>2192</v>
      </c>
      <c r="K37" s="876">
        <f>SUM(K3:K36)</f>
        <v>2101.333333333333</v>
      </c>
      <c r="L37" s="877"/>
      <c r="M37" s="878"/>
      <c r="N37" s="1073"/>
      <c r="O37" s="883"/>
    </row>
    <row r="38" spans="1:15" ht="40.5" customHeight="1" x14ac:dyDescent="0.3">
      <c r="B38" s="27"/>
      <c r="C38" s="879"/>
      <c r="D38" s="1175" t="s">
        <v>1064</v>
      </c>
      <c r="E38" s="1175"/>
      <c r="F38" s="1175"/>
      <c r="G38" s="1175"/>
      <c r="H38" s="1175"/>
      <c r="I38" s="1175"/>
      <c r="J38" s="1175"/>
      <c r="K38" s="1175"/>
      <c r="L38" s="1175"/>
      <c r="M38" s="1175"/>
      <c r="N38" s="1175"/>
      <c r="O38" s="883"/>
    </row>
    <row r="39" spans="1:15" x14ac:dyDescent="0.3">
      <c r="A39" s="881"/>
      <c r="B39" s="883"/>
      <c r="C39" s="879"/>
      <c r="D39" s="883"/>
      <c r="E39" s="883"/>
      <c r="F39" s="883"/>
      <c r="G39" s="883"/>
      <c r="H39" s="913"/>
      <c r="I39" s="913"/>
      <c r="J39" s="913"/>
      <c r="K39" s="879"/>
      <c r="L39" s="883"/>
      <c r="M39" s="883"/>
      <c r="N39" s="883"/>
      <c r="O39" s="883"/>
    </row>
  </sheetData>
  <sheetProtection algorithmName="SHA-512" hashValue="mWKBrVeBVh44CMQAzpQZa1NYc+QHCsEOo91ukcrvStT5T8gQFTxCPUkvndPlacozqvcSuNdBY1IMzxNXcHziOQ==" saltValue="ywzwg7sxg1NK8VDyNMWXyg==" spinCount="100000" sheet="1" objects="1" scenarios="1" formatCells="0" formatRows="0" autoFilter="0"/>
  <mergeCells count="3">
    <mergeCell ref="H1:J1"/>
    <mergeCell ref="E1:G1"/>
    <mergeCell ref="D38:N38"/>
  </mergeCells>
  <pageMargins left="0.75" right="0.75" top="0.75" bottom="0.75" header="0.5" footer="0.5"/>
  <pageSetup scale="88" fitToHeight="0" orientation="landscape" r:id="rId1"/>
  <headerFooter>
    <oddHeader xml:space="preserve">&amp;C&amp;"Arial,Bold"&amp;14FINAL Supporting Statement, 10 CFR Part 26
</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P224"/>
  <sheetViews>
    <sheetView view="pageBreakPreview" zoomScaleNormal="70" zoomScaleSheetLayoutView="100" workbookViewId="0">
      <pane xSplit="4" ySplit="2" topLeftCell="H3" activePane="bottomRight" state="frozen"/>
      <selection activeCell="Q31" sqref="Q31"/>
      <selection pane="topRight" activeCell="Q31" sqref="Q31"/>
      <selection pane="bottomLeft" activeCell="Q31" sqref="Q31"/>
      <selection pane="bottomRight" activeCell="D219" sqref="D219"/>
    </sheetView>
  </sheetViews>
  <sheetFormatPr defaultColWidth="9" defaultRowHeight="14" x14ac:dyDescent="0.3"/>
  <cols>
    <col min="1" max="1" width="11.5" style="300" hidden="1" customWidth="1"/>
    <col min="2" max="2" width="14.5" style="22" hidden="1" customWidth="1"/>
    <col min="3" max="3" width="1.5" customWidth="1"/>
    <col min="4" max="4" width="43.1640625" style="2" customWidth="1"/>
    <col min="5" max="5" width="12.08203125" style="5" hidden="1" customWidth="1"/>
    <col min="6" max="6" width="14.4140625" style="5" hidden="1" customWidth="1"/>
    <col min="7" max="7" width="11.5" style="5" hidden="1" customWidth="1"/>
    <col min="8" max="8" width="12.4140625" customWidth="1"/>
    <col min="9" max="9" width="11" customWidth="1"/>
    <col min="10" max="10" width="10.6640625" style="2" customWidth="1"/>
    <col min="11" max="11" width="9.4140625" style="6" hidden="1" customWidth="1"/>
    <col min="12" max="12" width="1.9140625" style="2" hidden="1" customWidth="1"/>
    <col min="13" max="13" width="42.9140625" style="2" hidden="1" customWidth="1"/>
    <col min="14" max="14" width="6.08203125" style="317" hidden="1" customWidth="1"/>
    <col min="15" max="15" width="45.1640625" style="317" customWidth="1"/>
    <col min="16" max="16" width="2.5" style="367" customWidth="1"/>
    <col min="17" max="16384" width="9" style="2"/>
  </cols>
  <sheetData>
    <row r="1" spans="1:16" ht="21.75" customHeight="1" x14ac:dyDescent="0.4">
      <c r="A1" s="888" t="s">
        <v>829</v>
      </c>
      <c r="B1" s="888" t="s">
        <v>829</v>
      </c>
      <c r="C1" s="879"/>
      <c r="D1" s="767" t="s">
        <v>798</v>
      </c>
      <c r="E1" s="1178" t="s">
        <v>762</v>
      </c>
      <c r="F1" s="1178"/>
      <c r="G1" s="1178"/>
      <c r="H1" s="1176" t="s">
        <v>1195</v>
      </c>
      <c r="I1" s="1177"/>
      <c r="J1" s="1177"/>
      <c r="K1" s="764" t="s">
        <v>829</v>
      </c>
      <c r="L1" s="768"/>
      <c r="M1" s="764" t="s">
        <v>829</v>
      </c>
      <c r="N1" s="764" t="s">
        <v>829</v>
      </c>
      <c r="O1" s="769"/>
      <c r="P1" s="887"/>
    </row>
    <row r="2" spans="1:16" ht="60.75" customHeight="1" thickBot="1" x14ac:dyDescent="0.35">
      <c r="A2" s="889" t="s">
        <v>370</v>
      </c>
      <c r="B2" s="890" t="s">
        <v>846</v>
      </c>
      <c r="C2" s="879"/>
      <c r="D2" s="759" t="s">
        <v>336</v>
      </c>
      <c r="E2" s="474" t="s">
        <v>337</v>
      </c>
      <c r="F2" s="474" t="s">
        <v>877</v>
      </c>
      <c r="G2" s="765" t="s">
        <v>791</v>
      </c>
      <c r="H2" s="765" t="s">
        <v>337</v>
      </c>
      <c r="I2" s="474" t="s">
        <v>371</v>
      </c>
      <c r="J2" s="474" t="s">
        <v>792</v>
      </c>
      <c r="K2" s="474" t="s">
        <v>372</v>
      </c>
      <c r="L2" s="472"/>
      <c r="M2" s="761" t="s">
        <v>339</v>
      </c>
      <c r="N2" s="761" t="s">
        <v>340</v>
      </c>
      <c r="O2" s="766" t="s">
        <v>830</v>
      </c>
      <c r="P2" s="887"/>
    </row>
    <row r="3" spans="1:16" ht="75.5" thickTop="1" x14ac:dyDescent="0.3">
      <c r="A3" s="881" t="s">
        <v>373</v>
      </c>
      <c r="B3" s="891"/>
      <c r="C3" s="879"/>
      <c r="D3" s="514" t="s">
        <v>1130</v>
      </c>
      <c r="E3" s="693">
        <v>30</v>
      </c>
      <c r="F3" s="681">
        <v>2</v>
      </c>
      <c r="G3" s="681">
        <f>E3*F3</f>
        <v>60</v>
      </c>
      <c r="H3" s="693">
        <f>(1/2)*((Num_Sites_Reactors_Operating) +SUM('Data '!$C$12,'Data '!$C$13,'Data '!$C$14))</f>
        <v>30</v>
      </c>
      <c r="I3" s="682">
        <v>2</v>
      </c>
      <c r="J3" s="681">
        <f t="shared" ref="J3:J10" si="0">H3*I3</f>
        <v>60</v>
      </c>
      <c r="K3" s="656">
        <f t="shared" ref="K3:K65" si="1">J3-G3</f>
        <v>0</v>
      </c>
      <c r="L3" s="657"/>
      <c r="M3" s="683" t="s">
        <v>1014</v>
      </c>
      <c r="N3" s="684" t="s">
        <v>374</v>
      </c>
      <c r="O3" s="651" t="s">
        <v>1015</v>
      </c>
      <c r="P3" s="905"/>
    </row>
    <row r="4" spans="1:16" ht="45.75" customHeight="1" x14ac:dyDescent="0.3">
      <c r="A4" s="881" t="s">
        <v>375</v>
      </c>
      <c r="B4" s="892"/>
      <c r="C4" s="879"/>
      <c r="D4" s="618" t="s">
        <v>376</v>
      </c>
      <c r="E4" s="694">
        <v>24</v>
      </c>
      <c r="F4" s="655">
        <v>16</v>
      </c>
      <c r="G4" s="655">
        <f t="shared" ref="G4:G5" si="2">E4*F4</f>
        <v>384</v>
      </c>
      <c r="H4" s="694">
        <f>Num_FFD_Prgms_Full</f>
        <v>24</v>
      </c>
      <c r="I4" s="61">
        <v>16</v>
      </c>
      <c r="J4" s="655">
        <f t="shared" si="0"/>
        <v>384</v>
      </c>
      <c r="K4" s="656">
        <f t="shared" si="1"/>
        <v>0</v>
      </c>
      <c r="L4" s="657"/>
      <c r="M4" s="695" t="s">
        <v>1072</v>
      </c>
      <c r="N4" s="659" t="s">
        <v>374</v>
      </c>
      <c r="O4" s="625" t="s">
        <v>1143</v>
      </c>
      <c r="P4" s="905"/>
    </row>
    <row r="5" spans="1:16" x14ac:dyDescent="0.3">
      <c r="A5" s="881" t="s">
        <v>375</v>
      </c>
      <c r="B5" s="892"/>
      <c r="C5" s="879"/>
      <c r="D5" s="618" t="s">
        <v>377</v>
      </c>
      <c r="E5" s="694">
        <v>24</v>
      </c>
      <c r="F5" s="655">
        <v>80</v>
      </c>
      <c r="G5" s="655">
        <f t="shared" si="2"/>
        <v>1920</v>
      </c>
      <c r="H5" s="694">
        <f t="shared" ref="H5:H10" si="3">Num_FFD_Prgms_Full</f>
        <v>24</v>
      </c>
      <c r="I5" s="61">
        <v>80</v>
      </c>
      <c r="J5" s="655">
        <f t="shared" si="0"/>
        <v>1920</v>
      </c>
      <c r="K5" s="656">
        <f t="shared" si="1"/>
        <v>0</v>
      </c>
      <c r="L5" s="657"/>
      <c r="M5" s="658"/>
      <c r="N5" s="659"/>
      <c r="O5" s="659"/>
      <c r="P5" s="906"/>
    </row>
    <row r="6" spans="1:16" ht="70.5" customHeight="1" x14ac:dyDescent="0.3">
      <c r="A6" s="881" t="s">
        <v>373</v>
      </c>
      <c r="B6" s="893"/>
      <c r="C6" s="879"/>
      <c r="D6" s="618" t="s">
        <v>378</v>
      </c>
      <c r="E6" s="696">
        <v>19</v>
      </c>
      <c r="F6" s="655">
        <v>2</v>
      </c>
      <c r="G6" s="655">
        <f t="shared" ref="G6:G22" si="4">E6*F6</f>
        <v>38</v>
      </c>
      <c r="H6" s="696">
        <f>ROUND((Num_Sites_Reactors_Operating + Num_Sites_FuelCycle)/3,0)</f>
        <v>18</v>
      </c>
      <c r="I6" s="230">
        <v>2</v>
      </c>
      <c r="J6" s="655">
        <f t="shared" si="0"/>
        <v>36</v>
      </c>
      <c r="K6" s="656">
        <f t="shared" si="1"/>
        <v>-2</v>
      </c>
      <c r="L6" s="657"/>
      <c r="M6" s="685" t="s">
        <v>1073</v>
      </c>
      <c r="N6" s="659" t="s">
        <v>374</v>
      </c>
      <c r="O6" s="624" t="s">
        <v>1132</v>
      </c>
      <c r="P6" s="905"/>
    </row>
    <row r="7" spans="1:16" ht="162.5" x14ac:dyDescent="0.3">
      <c r="A7" s="881" t="s">
        <v>373</v>
      </c>
      <c r="B7" s="893"/>
      <c r="C7" s="879"/>
      <c r="D7" s="618" t="s">
        <v>379</v>
      </c>
      <c r="E7" s="694">
        <v>24</v>
      </c>
      <c r="F7" s="230">
        <f>G7/E7</f>
        <v>94.840509259259264</v>
      </c>
      <c r="G7" s="655">
        <v>2276.1722222222224</v>
      </c>
      <c r="H7" s="694">
        <f t="shared" si="3"/>
        <v>24</v>
      </c>
      <c r="I7" s="230">
        <f>J7/H7</f>
        <v>83.69027777777778</v>
      </c>
      <c r="J7" s="655">
        <f>Num_PreAccess_Tests * (2/60)</f>
        <v>2008.5666666666666</v>
      </c>
      <c r="K7" s="656">
        <f t="shared" si="1"/>
        <v>-267.60555555555584</v>
      </c>
      <c r="L7" s="657"/>
      <c r="M7" s="685" t="s">
        <v>1074</v>
      </c>
      <c r="N7" s="659" t="s">
        <v>374</v>
      </c>
      <c r="O7" s="624" t="s">
        <v>1144</v>
      </c>
      <c r="P7" s="906"/>
    </row>
    <row r="8" spans="1:16" ht="123.75" customHeight="1" x14ac:dyDescent="0.3">
      <c r="A8" s="881" t="s">
        <v>373</v>
      </c>
      <c r="B8" s="893"/>
      <c r="C8" s="879"/>
      <c r="D8" s="618" t="s">
        <v>380</v>
      </c>
      <c r="E8" s="694">
        <v>24</v>
      </c>
      <c r="F8" s="230">
        <f>G8/E8</f>
        <v>119.32800925925926</v>
      </c>
      <c r="G8" s="655">
        <v>2863.8722222222223</v>
      </c>
      <c r="H8" s="694">
        <f t="shared" si="3"/>
        <v>24</v>
      </c>
      <c r="I8" s="230">
        <f>J8/H8</f>
        <v>106.28796296296296</v>
      </c>
      <c r="J8" s="655">
        <f>RandomTestPop_FullPrgm * (2/60)</f>
        <v>2550.911111111111</v>
      </c>
      <c r="K8" s="656">
        <f t="shared" si="1"/>
        <v>-312.96111111111122</v>
      </c>
      <c r="L8" s="657"/>
      <c r="M8" s="685" t="s">
        <v>1075</v>
      </c>
      <c r="N8" s="659" t="s">
        <v>374</v>
      </c>
      <c r="O8" s="624" t="s">
        <v>1160</v>
      </c>
      <c r="P8" s="906"/>
    </row>
    <row r="9" spans="1:16" ht="25" x14ac:dyDescent="0.3">
      <c r="A9" s="881" t="s">
        <v>375</v>
      </c>
      <c r="B9" s="892"/>
      <c r="C9" s="879"/>
      <c r="D9" s="618" t="s">
        <v>381</v>
      </c>
      <c r="E9" s="694">
        <v>24</v>
      </c>
      <c r="F9" s="655">
        <v>4</v>
      </c>
      <c r="G9" s="655">
        <f t="shared" si="4"/>
        <v>96</v>
      </c>
      <c r="H9" s="694">
        <f t="shared" si="3"/>
        <v>24</v>
      </c>
      <c r="I9" s="230">
        <v>4</v>
      </c>
      <c r="J9" s="655">
        <f t="shared" si="0"/>
        <v>96</v>
      </c>
      <c r="K9" s="656">
        <f t="shared" si="1"/>
        <v>0</v>
      </c>
      <c r="L9" s="657"/>
      <c r="M9" s="685"/>
      <c r="N9" s="659"/>
      <c r="O9" s="659"/>
      <c r="P9" s="906"/>
    </row>
    <row r="10" spans="1:16" ht="62.5" x14ac:dyDescent="0.3">
      <c r="A10" s="881" t="s">
        <v>375</v>
      </c>
      <c r="B10" s="892"/>
      <c r="C10" s="879"/>
      <c r="D10" s="618" t="s">
        <v>382</v>
      </c>
      <c r="E10" s="694">
        <v>24</v>
      </c>
      <c r="F10" s="655">
        <v>16</v>
      </c>
      <c r="G10" s="655">
        <f t="shared" si="4"/>
        <v>384</v>
      </c>
      <c r="H10" s="694">
        <f t="shared" si="3"/>
        <v>24</v>
      </c>
      <c r="I10" s="230">
        <v>16</v>
      </c>
      <c r="J10" s="655">
        <f t="shared" si="0"/>
        <v>384</v>
      </c>
      <c r="K10" s="656">
        <f t="shared" si="1"/>
        <v>0</v>
      </c>
      <c r="L10" s="657"/>
      <c r="M10" s="685" t="s">
        <v>1065</v>
      </c>
      <c r="N10" s="659" t="s">
        <v>383</v>
      </c>
      <c r="O10" s="624" t="s">
        <v>1004</v>
      </c>
      <c r="P10" s="907"/>
    </row>
    <row r="11" spans="1:16" ht="25" x14ac:dyDescent="0.3">
      <c r="A11" s="881"/>
      <c r="B11" s="892"/>
      <c r="C11" s="879"/>
      <c r="D11" s="618" t="s">
        <v>384</v>
      </c>
      <c r="E11" s="250" t="s">
        <v>693</v>
      </c>
      <c r="F11" s="652"/>
      <c r="G11" s="653"/>
      <c r="H11" s="250" t="s">
        <v>693</v>
      </c>
      <c r="I11" s="652"/>
      <c r="J11" s="653"/>
      <c r="K11" s="656">
        <f t="shared" si="1"/>
        <v>0</v>
      </c>
      <c r="L11" s="657"/>
      <c r="M11" s="658"/>
      <c r="N11" s="659"/>
      <c r="O11" s="659"/>
      <c r="P11" s="906"/>
    </row>
    <row r="12" spans="1:16" ht="25" x14ac:dyDescent="0.3">
      <c r="A12" s="881"/>
      <c r="B12" s="894"/>
      <c r="C12" s="879"/>
      <c r="D12" s="618" t="s">
        <v>385</v>
      </c>
      <c r="E12" s="250" t="s">
        <v>692</v>
      </c>
      <c r="F12" s="652"/>
      <c r="G12" s="653"/>
      <c r="H12" s="250" t="s">
        <v>692</v>
      </c>
      <c r="I12" s="652"/>
      <c r="J12" s="653"/>
      <c r="K12" s="656">
        <f t="shared" si="1"/>
        <v>0</v>
      </c>
      <c r="L12" s="657"/>
      <c r="M12" s="658"/>
      <c r="N12" s="659"/>
      <c r="O12" s="659"/>
      <c r="P12" s="906"/>
    </row>
    <row r="13" spans="1:16" ht="25" x14ac:dyDescent="0.3">
      <c r="A13" s="881"/>
      <c r="B13" s="892"/>
      <c r="C13" s="879"/>
      <c r="D13" s="618" t="s">
        <v>386</v>
      </c>
      <c r="E13" s="250" t="s">
        <v>693</v>
      </c>
      <c r="F13" s="652"/>
      <c r="G13" s="653"/>
      <c r="H13" s="250" t="s">
        <v>693</v>
      </c>
      <c r="I13" s="652"/>
      <c r="J13" s="653"/>
      <c r="K13" s="656">
        <f t="shared" si="1"/>
        <v>0</v>
      </c>
      <c r="L13" s="657"/>
      <c r="M13" s="658"/>
      <c r="N13" s="659"/>
      <c r="O13" s="659"/>
      <c r="P13" s="906"/>
    </row>
    <row r="14" spans="1:16" ht="37.5" x14ac:dyDescent="0.3">
      <c r="A14" s="881" t="s">
        <v>375</v>
      </c>
      <c r="B14" s="892"/>
      <c r="C14" s="879"/>
      <c r="D14" s="11" t="s">
        <v>387</v>
      </c>
      <c r="E14" s="694">
        <v>12</v>
      </c>
      <c r="F14" s="691">
        <v>2</v>
      </c>
      <c r="G14" s="691">
        <f t="shared" si="4"/>
        <v>24</v>
      </c>
      <c r="H14" s="694">
        <f>0.5*Num_FFD_Prgms_Full</f>
        <v>12</v>
      </c>
      <c r="I14" s="230">
        <v>2</v>
      </c>
      <c r="J14" s="655">
        <f t="shared" ref="J14:J18" si="5">H14*I14</f>
        <v>24</v>
      </c>
      <c r="K14" s="697">
        <f t="shared" si="1"/>
        <v>0</v>
      </c>
      <c r="L14" s="657"/>
      <c r="M14" s="658"/>
      <c r="N14" s="788"/>
      <c r="O14" s="659"/>
      <c r="P14" s="906"/>
    </row>
    <row r="15" spans="1:16" ht="37.5" x14ac:dyDescent="0.3">
      <c r="A15" s="881" t="s">
        <v>375</v>
      </c>
      <c r="B15" s="892"/>
      <c r="C15" s="879"/>
      <c r="D15" s="11" t="s">
        <v>388</v>
      </c>
      <c r="E15" s="694">
        <v>12</v>
      </c>
      <c r="F15" s="691">
        <v>1</v>
      </c>
      <c r="G15" s="691">
        <f t="shared" si="4"/>
        <v>12</v>
      </c>
      <c r="H15" s="694">
        <f>0.5*Num_FFD_Prgms_Full</f>
        <v>12</v>
      </c>
      <c r="I15" s="230">
        <v>1</v>
      </c>
      <c r="J15" s="655">
        <f t="shared" si="5"/>
        <v>12</v>
      </c>
      <c r="K15" s="697">
        <f t="shared" si="1"/>
        <v>0</v>
      </c>
      <c r="L15" s="657"/>
      <c r="M15" s="658"/>
      <c r="N15" s="659"/>
      <c r="O15" s="659"/>
      <c r="P15" s="906"/>
    </row>
    <row r="16" spans="1:16" ht="175" x14ac:dyDescent="0.3">
      <c r="A16" s="881" t="s">
        <v>373</v>
      </c>
      <c r="B16" s="893"/>
      <c r="C16" s="879"/>
      <c r="D16" s="11" t="s">
        <v>885</v>
      </c>
      <c r="E16" s="694">
        <v>24</v>
      </c>
      <c r="F16" s="230">
        <f>G16/E16</f>
        <v>2.1788194444444446</v>
      </c>
      <c r="G16" s="655">
        <v>52.291666666666671</v>
      </c>
      <c r="H16" s="694">
        <f>Num_FFD_Prgms_Full</f>
        <v>24</v>
      </c>
      <c r="I16" s="230">
        <f>J16/H16</f>
        <v>2.9356249999999995</v>
      </c>
      <c r="J16" s="655">
        <f>(15/60)*(SUM('Data '!$C$31:$C$34)*(1+'Data '!$C$45))</f>
        <v>70.454999999999984</v>
      </c>
      <c r="K16" s="697">
        <f t="shared" si="1"/>
        <v>18.163333333333313</v>
      </c>
      <c r="L16" s="657"/>
      <c r="M16" s="685" t="s">
        <v>1066</v>
      </c>
      <c r="N16" s="659" t="s">
        <v>383</v>
      </c>
      <c r="O16" s="624" t="s">
        <v>1016</v>
      </c>
      <c r="P16" s="908"/>
    </row>
    <row r="17" spans="1:16" ht="37.5" x14ac:dyDescent="0.3">
      <c r="A17" s="881" t="s">
        <v>375</v>
      </c>
      <c r="B17" s="892"/>
      <c r="C17" s="879"/>
      <c r="D17" s="11" t="s">
        <v>924</v>
      </c>
      <c r="E17" s="694">
        <v>24</v>
      </c>
      <c r="F17" s="655">
        <v>40</v>
      </c>
      <c r="G17" s="655">
        <f t="shared" si="4"/>
        <v>960</v>
      </c>
      <c r="H17" s="694">
        <f>Num_FFD_Prgms_Full</f>
        <v>24</v>
      </c>
      <c r="I17" s="230">
        <v>40</v>
      </c>
      <c r="J17" s="655">
        <f t="shared" si="5"/>
        <v>960</v>
      </c>
      <c r="K17" s="697">
        <f t="shared" si="1"/>
        <v>0</v>
      </c>
      <c r="L17" s="657"/>
      <c r="M17" s="658"/>
      <c r="N17" s="659"/>
      <c r="O17" s="659"/>
      <c r="P17" s="909"/>
    </row>
    <row r="18" spans="1:16" ht="25" x14ac:dyDescent="0.3">
      <c r="A18" s="881" t="s">
        <v>375</v>
      </c>
      <c r="B18" s="892"/>
      <c r="C18" s="879"/>
      <c r="D18" s="618" t="s">
        <v>389</v>
      </c>
      <c r="E18" s="694">
        <v>24</v>
      </c>
      <c r="F18" s="655">
        <v>40</v>
      </c>
      <c r="G18" s="655">
        <f t="shared" si="4"/>
        <v>960</v>
      </c>
      <c r="H18" s="694">
        <f>Num_FFD_Prgms_Full</f>
        <v>24</v>
      </c>
      <c r="I18" s="230">
        <v>40</v>
      </c>
      <c r="J18" s="655">
        <f t="shared" si="5"/>
        <v>960</v>
      </c>
      <c r="K18" s="656">
        <f t="shared" si="1"/>
        <v>0</v>
      </c>
      <c r="L18" s="657"/>
      <c r="M18" s="658"/>
      <c r="N18" s="659"/>
      <c r="O18" s="659"/>
      <c r="P18" s="906"/>
    </row>
    <row r="19" spans="1:16" ht="25" x14ac:dyDescent="0.3">
      <c r="A19" s="881"/>
      <c r="B19" s="892"/>
      <c r="C19" s="879"/>
      <c r="D19" s="618" t="s">
        <v>390</v>
      </c>
      <c r="E19" s="250" t="s">
        <v>700</v>
      </c>
      <c r="F19" s="652"/>
      <c r="G19" s="653"/>
      <c r="H19" s="250" t="s">
        <v>700</v>
      </c>
      <c r="I19" s="652"/>
      <c r="J19" s="653"/>
      <c r="K19" s="656">
        <f t="shared" si="1"/>
        <v>0</v>
      </c>
      <c r="L19" s="657"/>
      <c r="M19" s="658"/>
      <c r="N19" s="659"/>
      <c r="O19" s="659"/>
      <c r="P19" s="906"/>
    </row>
    <row r="20" spans="1:16" ht="197.25" customHeight="1" x14ac:dyDescent="0.3">
      <c r="A20" s="881" t="s">
        <v>373</v>
      </c>
      <c r="B20" s="893"/>
      <c r="C20" s="879"/>
      <c r="D20" s="618" t="s">
        <v>391</v>
      </c>
      <c r="E20" s="694">
        <v>24</v>
      </c>
      <c r="F20" s="230">
        <f>G20/E20</f>
        <v>82.576388888888886</v>
      </c>
      <c r="G20" s="655">
        <v>1981.8333333333333</v>
      </c>
      <c r="H20" s="694">
        <f>Num_FFD_Prgms_Full</f>
        <v>24</v>
      </c>
      <c r="I20" s="230">
        <f>J20/H20</f>
        <v>92.9513888888889</v>
      </c>
      <c r="J20" s="655">
        <f xml:space="preserve"> ((60+60+30)/60) * (('Data '!C42-'Data '!C43 )+ 'Data '!C44)</f>
        <v>2230.8333333333335</v>
      </c>
      <c r="K20" s="656">
        <f t="shared" si="1"/>
        <v>249.00000000000023</v>
      </c>
      <c r="L20" s="657"/>
      <c r="M20" s="685" t="s">
        <v>1067</v>
      </c>
      <c r="N20" s="659" t="s">
        <v>392</v>
      </c>
      <c r="O20" s="624" t="s">
        <v>1140</v>
      </c>
      <c r="P20" s="905"/>
    </row>
    <row r="21" spans="1:16" ht="102" customHeight="1" x14ac:dyDescent="0.3">
      <c r="A21" s="881"/>
      <c r="B21" s="892"/>
      <c r="C21" s="879"/>
      <c r="D21" s="618" t="s">
        <v>393</v>
      </c>
      <c r="E21" s="694">
        <v>6</v>
      </c>
      <c r="F21" s="655">
        <v>16</v>
      </c>
      <c r="G21" s="655">
        <f t="shared" si="4"/>
        <v>96</v>
      </c>
      <c r="H21" s="698">
        <f>1/3</f>
        <v>0.33333333333333331</v>
      </c>
      <c r="I21" s="230">
        <v>16</v>
      </c>
      <c r="J21" s="655">
        <f t="shared" ref="J21:J22" si="6">H21*I21</f>
        <v>5.333333333333333</v>
      </c>
      <c r="K21" s="656">
        <f t="shared" si="1"/>
        <v>-90.666666666666671</v>
      </c>
      <c r="L21" s="657"/>
      <c r="M21" s="685" t="s">
        <v>1017</v>
      </c>
      <c r="N21" s="659" t="s">
        <v>392</v>
      </c>
      <c r="O21" s="625" t="s">
        <v>1161</v>
      </c>
      <c r="P21" s="906"/>
    </row>
    <row r="22" spans="1:16" ht="118.5" customHeight="1" x14ac:dyDescent="0.3">
      <c r="A22" s="881"/>
      <c r="B22" s="892"/>
      <c r="C22" s="879"/>
      <c r="D22" s="618" t="s">
        <v>394</v>
      </c>
      <c r="E22" s="694">
        <v>0</v>
      </c>
      <c r="F22" s="655">
        <v>0.5</v>
      </c>
      <c r="G22" s="655">
        <f t="shared" si="4"/>
        <v>0</v>
      </c>
      <c r="H22" s="698">
        <f>1/3</f>
        <v>0.33333333333333331</v>
      </c>
      <c r="I22" s="230">
        <v>0.5</v>
      </c>
      <c r="J22" s="655">
        <f t="shared" si="6"/>
        <v>0.16666666666666666</v>
      </c>
      <c r="K22" s="656">
        <f t="shared" si="1"/>
        <v>0.16666666666666666</v>
      </c>
      <c r="L22" s="657"/>
      <c r="M22" s="685" t="s">
        <v>1068</v>
      </c>
      <c r="N22" s="659" t="s">
        <v>392</v>
      </c>
      <c r="O22" s="624" t="s">
        <v>1146</v>
      </c>
      <c r="P22" s="906"/>
    </row>
    <row r="23" spans="1:16" ht="25" x14ac:dyDescent="0.3">
      <c r="A23" s="881"/>
      <c r="B23" s="892"/>
      <c r="C23" s="879"/>
      <c r="D23" s="618" t="s">
        <v>1145</v>
      </c>
      <c r="E23" s="250" t="s">
        <v>694</v>
      </c>
      <c r="F23" s="652"/>
      <c r="G23" s="653"/>
      <c r="H23" s="250" t="s">
        <v>694</v>
      </c>
      <c r="I23" s="652"/>
      <c r="J23" s="653"/>
      <c r="K23" s="656">
        <f t="shared" si="1"/>
        <v>0</v>
      </c>
      <c r="L23" s="657"/>
      <c r="M23" s="658"/>
      <c r="N23" s="659"/>
      <c r="O23" s="659"/>
      <c r="P23" s="906"/>
    </row>
    <row r="24" spans="1:16" x14ac:dyDescent="0.3">
      <c r="A24" s="881" t="s">
        <v>375</v>
      </c>
      <c r="B24" s="892"/>
      <c r="C24" s="879"/>
      <c r="D24" s="618" t="s">
        <v>395</v>
      </c>
      <c r="E24" s="694">
        <v>24</v>
      </c>
      <c r="F24" s="655">
        <v>40</v>
      </c>
      <c r="G24" s="655">
        <f>E24*F24</f>
        <v>960</v>
      </c>
      <c r="H24" s="694">
        <f>Num_FFD_Prgms_Full</f>
        <v>24</v>
      </c>
      <c r="I24" s="230">
        <v>40</v>
      </c>
      <c r="J24" s="655">
        <f t="shared" ref="J24" si="7">H24*I24</f>
        <v>960</v>
      </c>
      <c r="K24" s="656">
        <f t="shared" si="1"/>
        <v>0</v>
      </c>
      <c r="L24" s="657"/>
      <c r="M24" s="658"/>
      <c r="N24" s="659"/>
      <c r="O24" s="659"/>
      <c r="P24" s="906"/>
    </row>
    <row r="25" spans="1:16" x14ac:dyDescent="0.3">
      <c r="A25" s="881" t="s">
        <v>375</v>
      </c>
      <c r="B25" s="892"/>
      <c r="C25" s="879"/>
      <c r="D25" s="618" t="s">
        <v>396</v>
      </c>
      <c r="E25" s="694">
        <v>24</v>
      </c>
      <c r="F25" s="655">
        <v>40</v>
      </c>
      <c r="G25" s="655">
        <f t="shared" ref="G25:G28" si="8">E25*F25</f>
        <v>960</v>
      </c>
      <c r="H25" s="694">
        <f>Num_FFD_Prgms_Full</f>
        <v>24</v>
      </c>
      <c r="I25" s="230">
        <v>40</v>
      </c>
      <c r="J25" s="655">
        <f t="shared" ref="J25:J28" si="9">H25*I25</f>
        <v>960</v>
      </c>
      <c r="K25" s="656">
        <f t="shared" si="1"/>
        <v>0</v>
      </c>
      <c r="L25" s="657"/>
      <c r="M25" s="658"/>
      <c r="N25" s="659"/>
      <c r="O25" s="659"/>
      <c r="P25" s="906"/>
    </row>
    <row r="26" spans="1:16" ht="62.5" x14ac:dyDescent="0.3">
      <c r="A26" s="881" t="s">
        <v>375</v>
      </c>
      <c r="B26" s="892"/>
      <c r="C26" s="879"/>
      <c r="D26" s="618" t="s">
        <v>397</v>
      </c>
      <c r="E26" s="694">
        <v>24</v>
      </c>
      <c r="F26" s="655">
        <v>40</v>
      </c>
      <c r="G26" s="655">
        <f t="shared" si="8"/>
        <v>960</v>
      </c>
      <c r="H26" s="694">
        <f>Num_FFD_Prgms_Full</f>
        <v>24</v>
      </c>
      <c r="I26" s="230">
        <v>40</v>
      </c>
      <c r="J26" s="655">
        <f t="shared" si="9"/>
        <v>960</v>
      </c>
      <c r="K26" s="656">
        <f t="shared" si="1"/>
        <v>0</v>
      </c>
      <c r="L26" s="657"/>
      <c r="M26" s="658"/>
      <c r="N26" s="659"/>
      <c r="O26" s="659"/>
      <c r="P26" s="906"/>
    </row>
    <row r="27" spans="1:16" ht="125" x14ac:dyDescent="0.3">
      <c r="A27" s="881"/>
      <c r="B27" s="892"/>
      <c r="C27" s="879"/>
      <c r="D27" s="618" t="s">
        <v>398</v>
      </c>
      <c r="E27" s="694">
        <v>0</v>
      </c>
      <c r="F27" s="655">
        <v>12</v>
      </c>
      <c r="G27" s="655">
        <f t="shared" si="8"/>
        <v>0</v>
      </c>
      <c r="H27" s="694">
        <f>Num_FFD_Prgms_Full/3</f>
        <v>8</v>
      </c>
      <c r="I27" s="230">
        <f>30/60</f>
        <v>0.5</v>
      </c>
      <c r="J27" s="655">
        <f t="shared" si="9"/>
        <v>4</v>
      </c>
      <c r="K27" s="656">
        <f t="shared" si="1"/>
        <v>4</v>
      </c>
      <c r="L27" s="657"/>
      <c r="M27" s="685" t="s">
        <v>1005</v>
      </c>
      <c r="N27" s="659" t="s">
        <v>392</v>
      </c>
      <c r="O27" s="624" t="s">
        <v>1162</v>
      </c>
      <c r="P27" s="906"/>
    </row>
    <row r="28" spans="1:16" ht="25" x14ac:dyDescent="0.3">
      <c r="A28" s="881"/>
      <c r="B28" s="892"/>
      <c r="C28" s="879"/>
      <c r="D28" s="618" t="s">
        <v>399</v>
      </c>
      <c r="E28" s="694">
        <v>0</v>
      </c>
      <c r="F28" s="655">
        <v>8</v>
      </c>
      <c r="G28" s="655">
        <f t="shared" si="8"/>
        <v>0</v>
      </c>
      <c r="H28" s="694">
        <v>0</v>
      </c>
      <c r="I28" s="230">
        <v>8</v>
      </c>
      <c r="J28" s="655">
        <f t="shared" si="9"/>
        <v>0</v>
      </c>
      <c r="K28" s="656">
        <f t="shared" si="1"/>
        <v>0</v>
      </c>
      <c r="L28" s="657"/>
      <c r="M28" s="658"/>
      <c r="N28" s="659"/>
      <c r="O28" s="659"/>
      <c r="P28" s="906"/>
    </row>
    <row r="29" spans="1:16" ht="153.75" customHeight="1" x14ac:dyDescent="0.3">
      <c r="A29" s="881" t="s">
        <v>373</v>
      </c>
      <c r="B29" s="893"/>
      <c r="C29" s="879"/>
      <c r="D29" s="618" t="s">
        <v>400</v>
      </c>
      <c r="E29" s="694">
        <v>24</v>
      </c>
      <c r="F29" s="230">
        <f>G29/E29</f>
        <v>142.2607638888889</v>
      </c>
      <c r="G29" s="655">
        <v>3414.2583333333337</v>
      </c>
      <c r="H29" s="694">
        <f>Num_FFD_Prgms_Full</f>
        <v>24</v>
      </c>
      <c r="I29" s="230">
        <f>J29/H29</f>
        <v>125.53541666666668</v>
      </c>
      <c r="J29" s="655">
        <f>(3/60) * Num_PreAccess_Tests</f>
        <v>3012.8500000000004</v>
      </c>
      <c r="K29" s="656">
        <f t="shared" si="1"/>
        <v>-401.4083333333333</v>
      </c>
      <c r="L29" s="657"/>
      <c r="M29" s="685" t="s">
        <v>1069</v>
      </c>
      <c r="N29" s="659" t="s">
        <v>401</v>
      </c>
      <c r="O29" s="624" t="s">
        <v>1147</v>
      </c>
      <c r="P29" s="906"/>
    </row>
    <row r="30" spans="1:16" ht="175" x14ac:dyDescent="0.3">
      <c r="A30" s="881" t="s">
        <v>373</v>
      </c>
      <c r="B30" s="893"/>
      <c r="C30" s="879"/>
      <c r="D30" s="618" t="s">
        <v>402</v>
      </c>
      <c r="E30" s="694">
        <v>24</v>
      </c>
      <c r="F30" s="230">
        <f>G30/E30</f>
        <v>21.0625</v>
      </c>
      <c r="G30" s="655">
        <v>505.5</v>
      </c>
      <c r="H30" s="694">
        <f>Num_FFD_Prgms_Full</f>
        <v>24</v>
      </c>
      <c r="I30" s="230">
        <f>J30/H30</f>
        <v>26.125</v>
      </c>
      <c r="J30" s="655">
        <f>ROUND(('Data '!C30) + (('Data '!C30-'Data '!C36)*0.22),0)</f>
        <v>627</v>
      </c>
      <c r="K30" s="656">
        <f t="shared" si="1"/>
        <v>121.5</v>
      </c>
      <c r="L30" s="657"/>
      <c r="M30" s="685" t="s">
        <v>1070</v>
      </c>
      <c r="N30" s="659" t="s">
        <v>401</v>
      </c>
      <c r="O30" s="624" t="s">
        <v>1163</v>
      </c>
      <c r="P30" s="908"/>
    </row>
    <row r="31" spans="1:16" ht="75" x14ac:dyDescent="0.3">
      <c r="A31" s="881"/>
      <c r="B31" s="892"/>
      <c r="C31" s="879"/>
      <c r="D31" s="618" t="s">
        <v>403</v>
      </c>
      <c r="E31" s="250" t="s">
        <v>695</v>
      </c>
      <c r="F31" s="652"/>
      <c r="G31" s="653"/>
      <c r="H31" s="250" t="s">
        <v>695</v>
      </c>
      <c r="I31" s="652"/>
      <c r="J31" s="653"/>
      <c r="K31" s="656">
        <f t="shared" si="1"/>
        <v>0</v>
      </c>
      <c r="L31" s="657"/>
      <c r="M31" s="658"/>
      <c r="N31" s="659"/>
      <c r="O31" s="659"/>
      <c r="P31" s="906"/>
    </row>
    <row r="32" spans="1:16" ht="25" x14ac:dyDescent="0.3">
      <c r="A32" s="881"/>
      <c r="B32" s="892"/>
      <c r="C32" s="879"/>
      <c r="D32" s="618" t="s">
        <v>404</v>
      </c>
      <c r="E32" s="250" t="s">
        <v>696</v>
      </c>
      <c r="F32" s="652"/>
      <c r="G32" s="653"/>
      <c r="H32" s="250" t="s">
        <v>696</v>
      </c>
      <c r="I32" s="652"/>
      <c r="J32" s="653"/>
      <c r="K32" s="656">
        <f t="shared" si="1"/>
        <v>0</v>
      </c>
      <c r="L32" s="657"/>
      <c r="M32" s="658"/>
      <c r="N32" s="659"/>
      <c r="O32" s="659"/>
      <c r="P32" s="906"/>
    </row>
    <row r="33" spans="1:16" ht="137.5" x14ac:dyDescent="0.3">
      <c r="A33" s="881" t="s">
        <v>373</v>
      </c>
      <c r="B33" s="893"/>
      <c r="C33" s="879"/>
      <c r="D33" s="618" t="s">
        <v>405</v>
      </c>
      <c r="E33" s="694">
        <v>24</v>
      </c>
      <c r="F33" s="230">
        <f>G33/E33</f>
        <v>1422.6076388888889</v>
      </c>
      <c r="G33" s="655">
        <v>34142.583333333336</v>
      </c>
      <c r="H33" s="694">
        <f t="shared" ref="H33" si="10">Num_FFD_Prgms_Full</f>
        <v>24</v>
      </c>
      <c r="I33" s="230">
        <f>J33/H33</f>
        <v>1255.3541666666667</v>
      </c>
      <c r="J33" s="655">
        <f xml:space="preserve"> (0.5) * Num_PreAccess_Tests</f>
        <v>30128.5</v>
      </c>
      <c r="K33" s="656">
        <f t="shared" si="1"/>
        <v>-4014.0833333333358</v>
      </c>
      <c r="L33" s="657"/>
      <c r="M33" s="685" t="s">
        <v>1071</v>
      </c>
      <c r="N33" s="659" t="s">
        <v>401</v>
      </c>
      <c r="O33" s="624" t="s">
        <v>1134</v>
      </c>
      <c r="P33" s="910"/>
    </row>
    <row r="34" spans="1:16" ht="25" x14ac:dyDescent="0.3">
      <c r="A34" s="881"/>
      <c r="B34" s="894"/>
      <c r="C34" s="879"/>
      <c r="D34" s="618" t="s">
        <v>406</v>
      </c>
      <c r="E34" s="250" t="s">
        <v>696</v>
      </c>
      <c r="F34" s="652"/>
      <c r="G34" s="653"/>
      <c r="H34" s="250" t="s">
        <v>696</v>
      </c>
      <c r="I34" s="652"/>
      <c r="J34" s="653"/>
      <c r="K34" s="656">
        <f t="shared" si="1"/>
        <v>0</v>
      </c>
      <c r="L34" s="657"/>
      <c r="M34" s="658"/>
      <c r="N34" s="659"/>
      <c r="O34" s="659"/>
      <c r="P34" s="906"/>
    </row>
    <row r="35" spans="1:16" ht="112.5" x14ac:dyDescent="0.3">
      <c r="A35" s="881" t="s">
        <v>373</v>
      </c>
      <c r="B35" s="893"/>
      <c r="C35" s="879"/>
      <c r="D35" s="618" t="s">
        <v>407</v>
      </c>
      <c r="E35" s="694">
        <v>24</v>
      </c>
      <c r="F35" s="230">
        <f>G35/E35</f>
        <v>1422.6076388888889</v>
      </c>
      <c r="G35" s="655">
        <v>34142.583333333336</v>
      </c>
      <c r="H35" s="694">
        <f t="shared" ref="H35" si="11">Num_FFD_Prgms_Full</f>
        <v>24</v>
      </c>
      <c r="I35" s="230">
        <f>J35/H35</f>
        <v>1255.3541666666667</v>
      </c>
      <c r="J35" s="655">
        <f>(0.5) * Num_PreAccess_Tests</f>
        <v>30128.5</v>
      </c>
      <c r="K35" s="656">
        <f t="shared" si="1"/>
        <v>-4014.0833333333358</v>
      </c>
      <c r="L35" s="657"/>
      <c r="M35" s="685" t="s">
        <v>1076</v>
      </c>
      <c r="N35" s="659" t="s">
        <v>408</v>
      </c>
      <c r="O35" s="624" t="s">
        <v>1135</v>
      </c>
      <c r="P35" s="910"/>
    </row>
    <row r="36" spans="1:16" ht="25" x14ac:dyDescent="0.3">
      <c r="A36" s="881" t="s">
        <v>375</v>
      </c>
      <c r="B36" s="892"/>
      <c r="C36" s="879"/>
      <c r="D36" s="618" t="s">
        <v>409</v>
      </c>
      <c r="E36" s="694">
        <v>24</v>
      </c>
      <c r="F36" s="655">
        <v>4</v>
      </c>
      <c r="G36" s="655">
        <f t="shared" ref="G36:G40" si="12">E36*F36</f>
        <v>96</v>
      </c>
      <c r="H36" s="694">
        <f t="shared" ref="H36:H38" si="13">Num_FFD_Prgms_Full</f>
        <v>24</v>
      </c>
      <c r="I36" s="230">
        <v>4</v>
      </c>
      <c r="J36" s="655">
        <f t="shared" ref="J36:J40" si="14">H36*I36</f>
        <v>96</v>
      </c>
      <c r="K36" s="656">
        <f t="shared" si="1"/>
        <v>0</v>
      </c>
      <c r="L36" s="657"/>
      <c r="M36" s="685"/>
      <c r="N36" s="659"/>
      <c r="O36" s="659"/>
      <c r="P36" s="906"/>
    </row>
    <row r="37" spans="1:16" ht="25" x14ac:dyDescent="0.3">
      <c r="A37" s="881" t="s">
        <v>375</v>
      </c>
      <c r="B37" s="892"/>
      <c r="C37" s="879"/>
      <c r="D37" s="618" t="s">
        <v>410</v>
      </c>
      <c r="E37" s="694">
        <v>24</v>
      </c>
      <c r="F37" s="655">
        <v>3</v>
      </c>
      <c r="G37" s="655">
        <f t="shared" si="12"/>
        <v>72</v>
      </c>
      <c r="H37" s="694">
        <f t="shared" si="13"/>
        <v>24</v>
      </c>
      <c r="I37" s="230">
        <v>3</v>
      </c>
      <c r="J37" s="655">
        <f t="shared" si="14"/>
        <v>72</v>
      </c>
      <c r="K37" s="656">
        <f t="shared" si="1"/>
        <v>0</v>
      </c>
      <c r="L37" s="657"/>
      <c r="M37" s="658"/>
      <c r="N37" s="659"/>
      <c r="O37" s="659"/>
      <c r="P37" s="906"/>
    </row>
    <row r="38" spans="1:16" ht="37.5" x14ac:dyDescent="0.3">
      <c r="A38" s="881" t="s">
        <v>375</v>
      </c>
      <c r="B38" s="892"/>
      <c r="C38" s="879"/>
      <c r="D38" s="618" t="s">
        <v>411</v>
      </c>
      <c r="E38" s="694">
        <v>24</v>
      </c>
      <c r="F38" s="655">
        <v>1</v>
      </c>
      <c r="G38" s="655">
        <f t="shared" si="12"/>
        <v>24</v>
      </c>
      <c r="H38" s="694">
        <f t="shared" si="13"/>
        <v>24</v>
      </c>
      <c r="I38" s="230">
        <v>1</v>
      </c>
      <c r="J38" s="655">
        <f t="shared" si="14"/>
        <v>24</v>
      </c>
      <c r="K38" s="656">
        <f t="shared" si="1"/>
        <v>0</v>
      </c>
      <c r="L38" s="657"/>
      <c r="M38" s="658"/>
      <c r="N38" s="659"/>
      <c r="O38" s="659"/>
      <c r="P38" s="906"/>
    </row>
    <row r="39" spans="1:16" ht="25" x14ac:dyDescent="0.3">
      <c r="A39" s="881" t="s">
        <v>375</v>
      </c>
      <c r="B39" s="892"/>
      <c r="C39" s="879"/>
      <c r="D39" s="618" t="s">
        <v>412</v>
      </c>
      <c r="E39" s="694">
        <v>24</v>
      </c>
      <c r="F39" s="655">
        <v>4</v>
      </c>
      <c r="G39" s="655">
        <f t="shared" si="12"/>
        <v>96</v>
      </c>
      <c r="H39" s="694">
        <f t="shared" ref="H39:H40" si="15">Num_FFD_Prgms_Full</f>
        <v>24</v>
      </c>
      <c r="I39" s="230">
        <v>4</v>
      </c>
      <c r="J39" s="655">
        <f t="shared" si="14"/>
        <v>96</v>
      </c>
      <c r="K39" s="656">
        <f t="shared" si="1"/>
        <v>0</v>
      </c>
      <c r="L39" s="657"/>
      <c r="M39" s="658"/>
      <c r="N39" s="659"/>
      <c r="O39" s="659"/>
      <c r="P39" s="906"/>
    </row>
    <row r="40" spans="1:16" ht="37.5" x14ac:dyDescent="0.3">
      <c r="A40" s="881" t="s">
        <v>375</v>
      </c>
      <c r="B40" s="892"/>
      <c r="C40" s="879"/>
      <c r="D40" s="618" t="s">
        <v>920</v>
      </c>
      <c r="E40" s="694">
        <v>24</v>
      </c>
      <c r="F40" s="655">
        <v>1</v>
      </c>
      <c r="G40" s="655">
        <f t="shared" si="12"/>
        <v>24</v>
      </c>
      <c r="H40" s="694">
        <f t="shared" si="15"/>
        <v>24</v>
      </c>
      <c r="I40" s="230">
        <v>1</v>
      </c>
      <c r="J40" s="655">
        <f t="shared" si="14"/>
        <v>24</v>
      </c>
      <c r="K40" s="656">
        <f t="shared" si="1"/>
        <v>0</v>
      </c>
      <c r="L40" s="657"/>
      <c r="M40" s="658"/>
      <c r="N40" s="659"/>
      <c r="O40" s="659"/>
      <c r="P40" s="906"/>
    </row>
    <row r="41" spans="1:16" ht="50" x14ac:dyDescent="0.3">
      <c r="A41" s="881"/>
      <c r="B41" s="892"/>
      <c r="C41" s="879"/>
      <c r="D41" s="618" t="s">
        <v>413</v>
      </c>
      <c r="E41" s="250" t="s">
        <v>697</v>
      </c>
      <c r="F41" s="652"/>
      <c r="G41" s="653"/>
      <c r="H41" s="250" t="s">
        <v>1148</v>
      </c>
      <c r="I41" s="652"/>
      <c r="J41" s="653"/>
      <c r="K41" s="656">
        <f t="shared" si="1"/>
        <v>0</v>
      </c>
      <c r="L41" s="657"/>
      <c r="M41" s="658"/>
      <c r="N41" s="659"/>
      <c r="O41" s="659"/>
      <c r="P41" s="906"/>
    </row>
    <row r="42" spans="1:16" ht="62.5" x14ac:dyDescent="0.3">
      <c r="A42" s="881"/>
      <c r="B42" s="892"/>
      <c r="C42" s="879"/>
      <c r="D42" s="618" t="s">
        <v>921</v>
      </c>
      <c r="E42" s="250" t="s">
        <v>698</v>
      </c>
      <c r="F42" s="652"/>
      <c r="G42" s="653"/>
      <c r="H42" s="250" t="s">
        <v>696</v>
      </c>
      <c r="I42" s="652"/>
      <c r="J42" s="653"/>
      <c r="K42" s="656">
        <f t="shared" si="1"/>
        <v>0</v>
      </c>
      <c r="L42" s="657"/>
      <c r="M42" s="658"/>
      <c r="N42" s="659"/>
      <c r="O42" s="659"/>
      <c r="P42" s="906"/>
    </row>
    <row r="43" spans="1:16" ht="100" x14ac:dyDescent="0.3">
      <c r="A43" s="881" t="s">
        <v>373</v>
      </c>
      <c r="B43" s="893"/>
      <c r="C43" s="879"/>
      <c r="D43" s="618" t="s">
        <v>414</v>
      </c>
      <c r="E43" s="694">
        <v>24</v>
      </c>
      <c r="F43" s="230">
        <f>G43/E43</f>
        <v>56.90430555555556</v>
      </c>
      <c r="G43" s="655">
        <v>1365.7033333333334</v>
      </c>
      <c r="H43" s="694">
        <f t="shared" ref="H43" si="16">Num_FFD_Prgms_Full</f>
        <v>24</v>
      </c>
      <c r="I43" s="230">
        <f>J43/H43</f>
        <v>50.214166666666671</v>
      </c>
      <c r="J43" s="655">
        <f>(Num_PreAccess_Tests) * (0.01) * 2</f>
        <v>1205.1400000000001</v>
      </c>
      <c r="K43" s="656">
        <f t="shared" si="1"/>
        <v>-160.56333333333328</v>
      </c>
      <c r="L43" s="657"/>
      <c r="M43" s="685" t="s">
        <v>1006</v>
      </c>
      <c r="N43" s="659" t="s">
        <v>415</v>
      </c>
      <c r="O43" s="624" t="s">
        <v>1186</v>
      </c>
      <c r="P43" s="906"/>
    </row>
    <row r="44" spans="1:16" ht="50" x14ac:dyDescent="0.3">
      <c r="A44" s="881"/>
      <c r="B44" s="893"/>
      <c r="C44" s="879"/>
      <c r="D44" s="618" t="s">
        <v>416</v>
      </c>
      <c r="E44" s="250" t="s">
        <v>699</v>
      </c>
      <c r="F44" s="652"/>
      <c r="G44" s="653"/>
      <c r="H44" s="250" t="s">
        <v>699</v>
      </c>
      <c r="I44" s="652"/>
      <c r="J44" s="653"/>
      <c r="K44" s="656">
        <f t="shared" si="1"/>
        <v>0</v>
      </c>
      <c r="L44" s="657"/>
      <c r="M44" s="658"/>
      <c r="N44" s="659"/>
      <c r="O44" s="659"/>
      <c r="P44" s="906"/>
    </row>
    <row r="45" spans="1:16" ht="137.5" x14ac:dyDescent="0.3">
      <c r="A45" s="881" t="s">
        <v>375</v>
      </c>
      <c r="B45" s="892"/>
      <c r="C45" s="879"/>
      <c r="D45" s="618" t="s">
        <v>922</v>
      </c>
      <c r="E45" s="694">
        <v>24</v>
      </c>
      <c r="F45" s="655">
        <v>40</v>
      </c>
      <c r="G45" s="655">
        <f t="shared" ref="G45:G59" si="17">E45*F45</f>
        <v>960</v>
      </c>
      <c r="H45" s="694">
        <f t="shared" ref="H45:H49" si="18">Num_FFD_Prgms_Full</f>
        <v>24</v>
      </c>
      <c r="I45" s="230">
        <v>40</v>
      </c>
      <c r="J45" s="655">
        <f t="shared" ref="J45" si="19">H45*I45</f>
        <v>960</v>
      </c>
      <c r="K45" s="656">
        <f t="shared" si="1"/>
        <v>0</v>
      </c>
      <c r="L45" s="657"/>
      <c r="M45" s="658"/>
      <c r="N45" s="659"/>
      <c r="O45" s="659"/>
      <c r="P45" s="906"/>
    </row>
    <row r="46" spans="1:16" ht="112.5" x14ac:dyDescent="0.3">
      <c r="A46" s="881" t="s">
        <v>373</v>
      </c>
      <c r="B46" s="893"/>
      <c r="C46" s="879"/>
      <c r="D46" s="618" t="s">
        <v>417</v>
      </c>
      <c r="E46" s="694">
        <v>24</v>
      </c>
      <c r="F46" s="652">
        <f>G46/E46</f>
        <v>47.420254629629632</v>
      </c>
      <c r="G46" s="655">
        <v>1138.0861111111112</v>
      </c>
      <c r="H46" s="694">
        <f t="shared" si="18"/>
        <v>24</v>
      </c>
      <c r="I46" s="652">
        <f>J46/H46</f>
        <v>41.84513888888889</v>
      </c>
      <c r="J46" s="655">
        <f>Num_PreAccess_Tests* (1/60)</f>
        <v>1004.2833333333333</v>
      </c>
      <c r="K46" s="656">
        <f t="shared" si="1"/>
        <v>-133.80277777777792</v>
      </c>
      <c r="L46" s="657"/>
      <c r="M46" s="685" t="s">
        <v>1077</v>
      </c>
      <c r="N46" s="659" t="s">
        <v>415</v>
      </c>
      <c r="O46" s="624" t="s">
        <v>1164</v>
      </c>
      <c r="P46" s="906"/>
    </row>
    <row r="47" spans="1:16" ht="25" x14ac:dyDescent="0.3">
      <c r="A47" s="881" t="s">
        <v>375</v>
      </c>
      <c r="B47" s="892"/>
      <c r="C47" s="879"/>
      <c r="D47" s="618" t="s">
        <v>418</v>
      </c>
      <c r="E47" s="694">
        <v>24</v>
      </c>
      <c r="F47" s="655">
        <v>24</v>
      </c>
      <c r="G47" s="655">
        <f t="shared" si="17"/>
        <v>576</v>
      </c>
      <c r="H47" s="694">
        <f t="shared" si="18"/>
        <v>24</v>
      </c>
      <c r="I47" s="230">
        <v>24</v>
      </c>
      <c r="J47" s="655">
        <f t="shared" ref="J47:J49" si="20">H47*I47</f>
        <v>576</v>
      </c>
      <c r="K47" s="656">
        <f t="shared" si="1"/>
        <v>0</v>
      </c>
      <c r="L47" s="657"/>
      <c r="M47" s="658"/>
      <c r="N47" s="659"/>
      <c r="O47" s="659"/>
      <c r="P47" s="906"/>
    </row>
    <row r="48" spans="1:16" ht="50" x14ac:dyDescent="0.3">
      <c r="A48" s="881" t="s">
        <v>375</v>
      </c>
      <c r="B48" s="892"/>
      <c r="C48" s="879"/>
      <c r="D48" s="618" t="s">
        <v>419</v>
      </c>
      <c r="E48" s="694">
        <v>24</v>
      </c>
      <c r="F48" s="655">
        <v>8</v>
      </c>
      <c r="G48" s="655">
        <f t="shared" si="17"/>
        <v>192</v>
      </c>
      <c r="H48" s="694">
        <f t="shared" si="18"/>
        <v>24</v>
      </c>
      <c r="I48" s="230">
        <v>8</v>
      </c>
      <c r="J48" s="655">
        <f t="shared" si="20"/>
        <v>192</v>
      </c>
      <c r="K48" s="656">
        <f t="shared" si="1"/>
        <v>0</v>
      </c>
      <c r="L48" s="657"/>
      <c r="M48" s="658"/>
      <c r="N48" s="659"/>
      <c r="O48" s="659"/>
      <c r="P48" s="906"/>
    </row>
    <row r="49" spans="1:16" ht="37.5" x14ac:dyDescent="0.3">
      <c r="A49" s="881" t="s">
        <v>375</v>
      </c>
      <c r="B49" s="892"/>
      <c r="C49" s="879"/>
      <c r="D49" s="618" t="s">
        <v>420</v>
      </c>
      <c r="E49" s="694">
        <v>24</v>
      </c>
      <c r="F49" s="655">
        <v>8</v>
      </c>
      <c r="G49" s="655">
        <f t="shared" si="17"/>
        <v>192</v>
      </c>
      <c r="H49" s="694">
        <f t="shared" si="18"/>
        <v>24</v>
      </c>
      <c r="I49" s="230">
        <v>8</v>
      </c>
      <c r="J49" s="655">
        <f t="shared" si="20"/>
        <v>192</v>
      </c>
      <c r="K49" s="656">
        <f t="shared" si="1"/>
        <v>0</v>
      </c>
      <c r="L49" s="657"/>
      <c r="M49" s="658"/>
      <c r="N49" s="659"/>
      <c r="O49" s="659"/>
      <c r="P49" s="906"/>
    </row>
    <row r="50" spans="1:16" ht="25" x14ac:dyDescent="0.3">
      <c r="A50" s="881"/>
      <c r="B50" s="892"/>
      <c r="C50" s="879"/>
      <c r="D50" s="618" t="s">
        <v>421</v>
      </c>
      <c r="E50" s="250" t="s">
        <v>701</v>
      </c>
      <c r="F50" s="652"/>
      <c r="G50" s="653"/>
      <c r="H50" s="250" t="s">
        <v>701</v>
      </c>
      <c r="I50" s="652"/>
      <c r="J50" s="653"/>
      <c r="K50" s="656">
        <f t="shared" si="1"/>
        <v>0</v>
      </c>
      <c r="L50" s="657"/>
      <c r="M50" s="658"/>
      <c r="N50" s="659"/>
      <c r="O50" s="659"/>
      <c r="P50" s="906"/>
    </row>
    <row r="51" spans="1:16" ht="99.75" customHeight="1" x14ac:dyDescent="0.3">
      <c r="A51" s="881" t="s">
        <v>373</v>
      </c>
      <c r="B51" s="893"/>
      <c r="C51" s="879"/>
      <c r="D51" s="618" t="s">
        <v>726</v>
      </c>
      <c r="E51" s="694">
        <v>24</v>
      </c>
      <c r="F51" s="230">
        <f>G51/E51</f>
        <v>10.847222222222221</v>
      </c>
      <c r="G51" s="655">
        <v>260.33333333333331</v>
      </c>
      <c r="H51" s="694">
        <f>Num_FFD_Prgms_Full</f>
        <v>24</v>
      </c>
      <c r="I51" s="230">
        <f>J51/H51</f>
        <v>7.1388888888888893</v>
      </c>
      <c r="J51" s="655">
        <f>Num_Tests_ForCause * (1)</f>
        <v>171.33333333333334</v>
      </c>
      <c r="K51" s="656">
        <f t="shared" si="1"/>
        <v>-88.999999999999972</v>
      </c>
      <c r="L51" s="657"/>
      <c r="M51" s="685" t="s">
        <v>1078</v>
      </c>
      <c r="N51" s="659" t="s">
        <v>422</v>
      </c>
      <c r="O51" s="624" t="s">
        <v>1149</v>
      </c>
      <c r="P51" s="906"/>
    </row>
    <row r="52" spans="1:16" ht="50" x14ac:dyDescent="0.3">
      <c r="A52" s="881" t="s">
        <v>309</v>
      </c>
      <c r="B52" s="892"/>
      <c r="C52" s="879"/>
      <c r="D52" s="618" t="s">
        <v>945</v>
      </c>
      <c r="E52" s="699">
        <v>0</v>
      </c>
      <c r="F52" s="655">
        <v>80</v>
      </c>
      <c r="G52" s="655">
        <f t="shared" si="17"/>
        <v>0</v>
      </c>
      <c r="H52" s="699">
        <v>0</v>
      </c>
      <c r="I52" s="230">
        <v>80</v>
      </c>
      <c r="J52" s="655">
        <f t="shared" ref="J52:J59" si="21">H52*I52</f>
        <v>0</v>
      </c>
      <c r="K52" s="656">
        <f t="shared" si="1"/>
        <v>0</v>
      </c>
      <c r="L52" s="657"/>
      <c r="M52" s="658"/>
      <c r="N52" s="659"/>
      <c r="O52" s="659"/>
      <c r="P52" s="906"/>
    </row>
    <row r="53" spans="1:16" ht="62.5" x14ac:dyDescent="0.3">
      <c r="A53" s="881" t="s">
        <v>309</v>
      </c>
      <c r="B53" s="892"/>
      <c r="C53" s="879"/>
      <c r="D53" s="618" t="s">
        <v>423</v>
      </c>
      <c r="E53" s="699">
        <v>0</v>
      </c>
      <c r="F53" s="655">
        <v>1</v>
      </c>
      <c r="G53" s="655">
        <f t="shared" si="17"/>
        <v>0</v>
      </c>
      <c r="H53" s="699">
        <v>0</v>
      </c>
      <c r="I53" s="230">
        <v>1</v>
      </c>
      <c r="J53" s="655">
        <f t="shared" si="21"/>
        <v>0</v>
      </c>
      <c r="K53" s="656">
        <f t="shared" si="1"/>
        <v>0</v>
      </c>
      <c r="L53" s="657"/>
      <c r="M53" s="658"/>
      <c r="N53" s="659"/>
      <c r="O53" s="659"/>
      <c r="P53" s="906"/>
    </row>
    <row r="54" spans="1:16" ht="62.5" x14ac:dyDescent="0.3">
      <c r="A54" s="881" t="s">
        <v>375</v>
      </c>
      <c r="B54" s="895" t="s">
        <v>1060</v>
      </c>
      <c r="C54" s="879"/>
      <c r="D54" s="618" t="s">
        <v>1007</v>
      </c>
      <c r="E54" s="694">
        <v>24</v>
      </c>
      <c r="F54" s="655">
        <v>8</v>
      </c>
      <c r="G54" s="655">
        <f t="shared" si="17"/>
        <v>192</v>
      </c>
      <c r="H54" s="694">
        <f t="shared" ref="H54:H55" si="22">Num_FFD_Prgms_Full</f>
        <v>24</v>
      </c>
      <c r="I54" s="230">
        <v>8</v>
      </c>
      <c r="J54" s="655">
        <f t="shared" si="21"/>
        <v>192</v>
      </c>
      <c r="K54" s="656">
        <f t="shared" si="1"/>
        <v>0</v>
      </c>
      <c r="L54" s="657"/>
      <c r="M54" s="658"/>
      <c r="N54" s="659"/>
      <c r="O54" s="625" t="s">
        <v>1136</v>
      </c>
      <c r="P54" s="906"/>
    </row>
    <row r="55" spans="1:16" ht="62.5" x14ac:dyDescent="0.3">
      <c r="A55" s="881" t="s">
        <v>375</v>
      </c>
      <c r="B55" s="892"/>
      <c r="C55" s="879"/>
      <c r="D55" s="618" t="s">
        <v>424</v>
      </c>
      <c r="E55" s="694">
        <v>24</v>
      </c>
      <c r="F55" s="655">
        <v>1</v>
      </c>
      <c r="G55" s="655">
        <f t="shared" si="17"/>
        <v>24</v>
      </c>
      <c r="H55" s="694">
        <f t="shared" si="22"/>
        <v>24</v>
      </c>
      <c r="I55" s="230">
        <v>1</v>
      </c>
      <c r="J55" s="655">
        <f t="shared" si="21"/>
        <v>24</v>
      </c>
      <c r="K55" s="656">
        <f t="shared" si="1"/>
        <v>0</v>
      </c>
      <c r="L55" s="657"/>
      <c r="M55" s="658"/>
      <c r="N55" s="659"/>
      <c r="O55" s="659"/>
      <c r="P55" s="906"/>
    </row>
    <row r="56" spans="1:16" ht="100" x14ac:dyDescent="0.3">
      <c r="A56" s="881"/>
      <c r="B56" s="895" t="s">
        <v>1060</v>
      </c>
      <c r="C56" s="879"/>
      <c r="D56" s="618" t="s">
        <v>1150</v>
      </c>
      <c r="E56" s="694">
        <v>2</v>
      </c>
      <c r="F56" s="655">
        <v>0.5</v>
      </c>
      <c r="G56" s="655">
        <f t="shared" si="17"/>
        <v>1</v>
      </c>
      <c r="H56" s="694">
        <v>2</v>
      </c>
      <c r="I56" s="230">
        <v>0.5</v>
      </c>
      <c r="J56" s="655">
        <f t="shared" si="21"/>
        <v>1</v>
      </c>
      <c r="K56" s="656">
        <f t="shared" si="1"/>
        <v>0</v>
      </c>
      <c r="L56" s="657"/>
      <c r="M56" s="658"/>
      <c r="N56" s="659"/>
      <c r="O56" s="659"/>
      <c r="P56" s="906"/>
    </row>
    <row r="57" spans="1:16" ht="25" x14ac:dyDescent="0.3">
      <c r="A57" s="881" t="s">
        <v>373</v>
      </c>
      <c r="B57" s="896"/>
      <c r="C57" s="879"/>
      <c r="D57" s="618" t="s">
        <v>425</v>
      </c>
      <c r="E57" s="694">
        <v>5</v>
      </c>
      <c r="F57" s="686">
        <v>0.25</v>
      </c>
      <c r="G57" s="687">
        <f t="shared" si="17"/>
        <v>1.25</v>
      </c>
      <c r="H57" s="694">
        <v>5</v>
      </c>
      <c r="I57" s="686">
        <v>0.25</v>
      </c>
      <c r="J57" s="687">
        <f>H57*I57</f>
        <v>1.25</v>
      </c>
      <c r="K57" s="656">
        <f t="shared" si="1"/>
        <v>0</v>
      </c>
      <c r="L57" s="657"/>
      <c r="M57" s="658"/>
      <c r="N57" s="659"/>
      <c r="O57" s="659"/>
      <c r="P57" s="906"/>
    </row>
    <row r="58" spans="1:16" ht="25" x14ac:dyDescent="0.3">
      <c r="A58" s="881" t="s">
        <v>375</v>
      </c>
      <c r="B58" s="892"/>
      <c r="C58" s="879"/>
      <c r="D58" s="618" t="s">
        <v>426</v>
      </c>
      <c r="E58" s="694">
        <v>24</v>
      </c>
      <c r="F58" s="655">
        <v>1.5</v>
      </c>
      <c r="G58" s="655">
        <f t="shared" si="17"/>
        <v>36</v>
      </c>
      <c r="H58" s="694">
        <f t="shared" ref="H58:H59" si="23">Num_FFD_Prgms_Full</f>
        <v>24</v>
      </c>
      <c r="I58" s="230">
        <v>1.5</v>
      </c>
      <c r="J58" s="655">
        <f t="shared" si="21"/>
        <v>36</v>
      </c>
      <c r="K58" s="656">
        <f t="shared" si="1"/>
        <v>0</v>
      </c>
      <c r="L58" s="657"/>
      <c r="M58" s="658"/>
      <c r="N58" s="659"/>
      <c r="O58" s="659"/>
      <c r="P58" s="906"/>
    </row>
    <row r="59" spans="1:16" ht="37.5" x14ac:dyDescent="0.3">
      <c r="A59" s="881" t="s">
        <v>375</v>
      </c>
      <c r="B59" s="892"/>
      <c r="C59" s="879"/>
      <c r="D59" s="618" t="s">
        <v>427</v>
      </c>
      <c r="E59" s="694">
        <v>24</v>
      </c>
      <c r="F59" s="655">
        <v>1</v>
      </c>
      <c r="G59" s="655">
        <f t="shared" si="17"/>
        <v>24</v>
      </c>
      <c r="H59" s="694">
        <f t="shared" si="23"/>
        <v>24</v>
      </c>
      <c r="I59" s="230">
        <v>1</v>
      </c>
      <c r="J59" s="655">
        <f t="shared" si="21"/>
        <v>24</v>
      </c>
      <c r="K59" s="656">
        <f t="shared" si="1"/>
        <v>0</v>
      </c>
      <c r="L59" s="657"/>
      <c r="M59" s="658"/>
      <c r="N59" s="659"/>
      <c r="O59" s="659"/>
      <c r="P59" s="906"/>
    </row>
    <row r="60" spans="1:16" ht="25" x14ac:dyDescent="0.3">
      <c r="A60" s="881"/>
      <c r="B60" s="892"/>
      <c r="C60" s="879"/>
      <c r="D60" s="618" t="s">
        <v>1008</v>
      </c>
      <c r="E60" s="250" t="s">
        <v>702</v>
      </c>
      <c r="F60" s="688"/>
      <c r="G60" s="653"/>
      <c r="H60" s="250" t="s">
        <v>705</v>
      </c>
      <c r="I60" s="652"/>
      <c r="J60" s="653"/>
      <c r="K60" s="656">
        <f t="shared" si="1"/>
        <v>0</v>
      </c>
      <c r="L60" s="657"/>
      <c r="M60" s="658"/>
      <c r="N60" s="659"/>
      <c r="O60" s="659"/>
      <c r="P60" s="906"/>
    </row>
    <row r="61" spans="1:16" ht="25" x14ac:dyDescent="0.3">
      <c r="A61" s="881"/>
      <c r="B61" s="892"/>
      <c r="C61" s="879"/>
      <c r="D61" s="618" t="s">
        <v>428</v>
      </c>
      <c r="E61" s="250" t="s">
        <v>703</v>
      </c>
      <c r="F61" s="688"/>
      <c r="G61" s="653"/>
      <c r="H61" s="250" t="s">
        <v>741</v>
      </c>
      <c r="I61" s="652"/>
      <c r="J61" s="653"/>
      <c r="K61" s="656">
        <f t="shared" si="1"/>
        <v>0</v>
      </c>
      <c r="L61" s="657"/>
      <c r="M61" s="658"/>
      <c r="N61" s="659"/>
      <c r="O61" s="659"/>
      <c r="P61" s="906"/>
    </row>
    <row r="62" spans="1:16" ht="25" x14ac:dyDescent="0.3">
      <c r="A62" s="881"/>
      <c r="B62" s="892"/>
      <c r="C62" s="879"/>
      <c r="D62" s="618" t="s">
        <v>429</v>
      </c>
      <c r="E62" s="694">
        <v>0</v>
      </c>
      <c r="F62" s="655">
        <v>6</v>
      </c>
      <c r="G62" s="655">
        <f>E62*F62</f>
        <v>0</v>
      </c>
      <c r="H62" s="694">
        <f>E62</f>
        <v>0</v>
      </c>
      <c r="I62" s="230">
        <f t="shared" ref="I62" si="24">F62</f>
        <v>6</v>
      </c>
      <c r="J62" s="655">
        <f t="shared" ref="J62" si="25">H62*I62</f>
        <v>0</v>
      </c>
      <c r="K62" s="656">
        <f t="shared" si="1"/>
        <v>0</v>
      </c>
      <c r="L62" s="657"/>
      <c r="M62" s="658"/>
      <c r="N62" s="659"/>
      <c r="O62" s="659"/>
      <c r="P62" s="906"/>
    </row>
    <row r="63" spans="1:16" ht="30.75" customHeight="1" x14ac:dyDescent="0.3">
      <c r="A63" s="881" t="s">
        <v>375</v>
      </c>
      <c r="B63" s="893"/>
      <c r="C63" s="879"/>
      <c r="D63" s="618" t="s">
        <v>431</v>
      </c>
      <c r="E63" s="250" t="s">
        <v>704</v>
      </c>
      <c r="F63" s="652"/>
      <c r="G63" s="653"/>
      <c r="H63" s="250" t="s">
        <v>704</v>
      </c>
      <c r="I63" s="652"/>
      <c r="J63" s="653"/>
      <c r="K63" s="656">
        <f t="shared" si="1"/>
        <v>0</v>
      </c>
      <c r="L63" s="657"/>
      <c r="M63" s="685" t="s">
        <v>1079</v>
      </c>
      <c r="N63" s="659" t="s">
        <v>422</v>
      </c>
      <c r="O63" s="624"/>
      <c r="P63" s="906"/>
    </row>
    <row r="64" spans="1:16" ht="125" x14ac:dyDescent="0.3">
      <c r="A64" s="881" t="s">
        <v>373</v>
      </c>
      <c r="B64" s="893"/>
      <c r="C64" s="879"/>
      <c r="D64" s="618" t="s">
        <v>432</v>
      </c>
      <c r="E64" s="694">
        <v>24</v>
      </c>
      <c r="F64" s="230">
        <f>G64/E64</f>
        <v>42.366724537037037</v>
      </c>
      <c r="G64" s="655">
        <v>1016.8013888888888</v>
      </c>
      <c r="H64" s="694">
        <f>Num_FFD_Prgms_Full</f>
        <v>24</v>
      </c>
      <c r="I64" s="230">
        <f>J64/H64</f>
        <v>37.267708333333324</v>
      </c>
      <c r="J64" s="655">
        <f>Num_Tests_Total * (0.5/60)</f>
        <v>894.42499999999984</v>
      </c>
      <c r="K64" s="656">
        <f t="shared" si="1"/>
        <v>-122.37638888888898</v>
      </c>
      <c r="L64" s="657"/>
      <c r="M64" s="685" t="s">
        <v>1009</v>
      </c>
      <c r="N64" s="659" t="s">
        <v>433</v>
      </c>
      <c r="O64" s="624" t="s">
        <v>1187</v>
      </c>
      <c r="P64" s="906"/>
    </row>
    <row r="65" spans="1:16" ht="100" x14ac:dyDescent="0.3">
      <c r="A65" s="881" t="s">
        <v>373</v>
      </c>
      <c r="B65" s="893"/>
      <c r="C65" s="879"/>
      <c r="D65" s="618" t="s">
        <v>434</v>
      </c>
      <c r="E65" s="694">
        <v>24</v>
      </c>
      <c r="F65" s="230">
        <f>G65/E65</f>
        <v>42.366724537037037</v>
      </c>
      <c r="G65" s="655">
        <v>1016.8013888888888</v>
      </c>
      <c r="H65" s="694">
        <f>Num_FFD_Prgms_Full</f>
        <v>24</v>
      </c>
      <c r="I65" s="230">
        <f>J65/H65</f>
        <v>37.267708333333324</v>
      </c>
      <c r="J65" s="655">
        <f>Num_Tests_Total * (0.5/60)</f>
        <v>894.42499999999984</v>
      </c>
      <c r="K65" s="656">
        <f t="shared" si="1"/>
        <v>-122.37638888888898</v>
      </c>
      <c r="L65" s="657"/>
      <c r="M65" s="685" t="s">
        <v>1010</v>
      </c>
      <c r="N65" s="659" t="s">
        <v>433</v>
      </c>
      <c r="O65" s="624" t="s">
        <v>1165</v>
      </c>
      <c r="P65" s="906"/>
    </row>
    <row r="66" spans="1:16" ht="50" x14ac:dyDescent="0.3">
      <c r="A66" s="881"/>
      <c r="B66" s="892"/>
      <c r="C66" s="879"/>
      <c r="D66" s="618" t="s">
        <v>435</v>
      </c>
      <c r="E66" s="694">
        <v>0</v>
      </c>
      <c r="F66" s="687">
        <v>0.25</v>
      </c>
      <c r="G66" s="655">
        <f t="shared" ref="G66:G103" si="26">E66*F66</f>
        <v>0</v>
      </c>
      <c r="H66" s="694">
        <f t="shared" ref="H66:I68" si="27">E66</f>
        <v>0</v>
      </c>
      <c r="I66" s="686">
        <v>0.25</v>
      </c>
      <c r="J66" s="655">
        <f t="shared" ref="J66:J68" si="28">H66*I66</f>
        <v>0</v>
      </c>
      <c r="K66" s="656">
        <f t="shared" ref="K66:K129" si="29">J66-G66</f>
        <v>0</v>
      </c>
      <c r="L66" s="657"/>
      <c r="M66" s="685" t="s">
        <v>1011</v>
      </c>
      <c r="N66" s="659" t="s">
        <v>433</v>
      </c>
      <c r="O66" s="659"/>
      <c r="P66" s="906"/>
    </row>
    <row r="67" spans="1:16" ht="27" x14ac:dyDescent="0.3">
      <c r="A67" s="881"/>
      <c r="B67" s="892"/>
      <c r="C67" s="879"/>
      <c r="D67" s="771" t="s">
        <v>1012</v>
      </c>
      <c r="E67" s="709">
        <v>0</v>
      </c>
      <c r="F67" s="772">
        <v>0.25</v>
      </c>
      <c r="G67" s="711">
        <f t="shared" si="26"/>
        <v>0</v>
      </c>
      <c r="H67" s="709">
        <f t="shared" si="27"/>
        <v>0</v>
      </c>
      <c r="I67" s="758">
        <v>0.25</v>
      </c>
      <c r="J67" s="711">
        <f t="shared" si="28"/>
        <v>0</v>
      </c>
      <c r="K67" s="712">
        <f t="shared" si="29"/>
        <v>0</v>
      </c>
      <c r="L67" s="657"/>
      <c r="M67" s="715"/>
      <c r="N67" s="713"/>
      <c r="O67" s="713"/>
      <c r="P67" s="906"/>
    </row>
    <row r="68" spans="1:16" ht="25" x14ac:dyDescent="0.3">
      <c r="A68" s="881"/>
      <c r="B68" s="897"/>
      <c r="C68" s="879"/>
      <c r="D68" s="618" t="s">
        <v>436</v>
      </c>
      <c r="E68" s="694">
        <v>0</v>
      </c>
      <c r="F68" s="687">
        <v>0.25</v>
      </c>
      <c r="G68" s="655">
        <f t="shared" si="26"/>
        <v>0</v>
      </c>
      <c r="H68" s="694">
        <f t="shared" si="27"/>
        <v>0</v>
      </c>
      <c r="I68" s="686">
        <f t="shared" si="27"/>
        <v>0.25</v>
      </c>
      <c r="J68" s="655">
        <f t="shared" si="28"/>
        <v>0</v>
      </c>
      <c r="K68" s="714">
        <f t="shared" si="29"/>
        <v>0</v>
      </c>
      <c r="L68" s="732"/>
      <c r="M68" s="794"/>
      <c r="N68" s="717"/>
      <c r="O68" s="717"/>
      <c r="P68" s="906"/>
    </row>
    <row r="69" spans="1:16" ht="25" x14ac:dyDescent="0.3">
      <c r="A69" s="881"/>
      <c r="B69" s="897"/>
      <c r="C69" s="879"/>
      <c r="D69" s="618" t="s">
        <v>437</v>
      </c>
      <c r="E69" s="250" t="s">
        <v>703</v>
      </c>
      <c r="F69" s="688"/>
      <c r="G69" s="652"/>
      <c r="H69" s="250" t="s">
        <v>741</v>
      </c>
      <c r="I69" s="652"/>
      <c r="J69" s="652"/>
      <c r="K69" s="714">
        <f t="shared" si="29"/>
        <v>0</v>
      </c>
      <c r="L69" s="732"/>
      <c r="M69" s="794"/>
      <c r="N69" s="717"/>
      <c r="O69" s="717"/>
      <c r="P69" s="906"/>
    </row>
    <row r="70" spans="1:16" ht="25" x14ac:dyDescent="0.3">
      <c r="A70" s="881"/>
      <c r="B70" s="897"/>
      <c r="C70" s="879"/>
      <c r="D70" s="618" t="s">
        <v>438</v>
      </c>
      <c r="E70" s="250" t="s">
        <v>703</v>
      </c>
      <c r="F70" s="688"/>
      <c r="G70" s="652"/>
      <c r="H70" s="250" t="s">
        <v>741</v>
      </c>
      <c r="I70" s="652"/>
      <c r="J70" s="652"/>
      <c r="K70" s="714">
        <f t="shared" si="29"/>
        <v>0</v>
      </c>
      <c r="L70" s="732"/>
      <c r="M70" s="794"/>
      <c r="N70" s="717"/>
      <c r="O70" s="717"/>
      <c r="P70" s="906"/>
    </row>
    <row r="71" spans="1:16" ht="37.5" x14ac:dyDescent="0.3">
      <c r="A71" s="881"/>
      <c r="B71" s="897"/>
      <c r="C71" s="879"/>
      <c r="D71" s="618" t="s">
        <v>439</v>
      </c>
      <c r="E71" s="655">
        <v>8</v>
      </c>
      <c r="F71" s="687">
        <v>0.25</v>
      </c>
      <c r="G71" s="655">
        <f t="shared" si="26"/>
        <v>2</v>
      </c>
      <c r="H71" s="655">
        <v>8</v>
      </c>
      <c r="I71" s="686">
        <v>0.25</v>
      </c>
      <c r="J71" s="655">
        <f t="shared" ref="J71" si="30">H71*I71</f>
        <v>2</v>
      </c>
      <c r="K71" s="714">
        <f>J71-G71</f>
        <v>0</v>
      </c>
      <c r="L71" s="732"/>
      <c r="M71" s="794"/>
      <c r="N71" s="717"/>
      <c r="O71" s="717"/>
      <c r="P71" s="906"/>
    </row>
    <row r="72" spans="1:16" ht="152.25" customHeight="1" x14ac:dyDescent="0.3">
      <c r="A72" s="881" t="s">
        <v>375</v>
      </c>
      <c r="B72" s="898" t="s">
        <v>1060</v>
      </c>
      <c r="C72" s="879"/>
      <c r="D72" s="618" t="s">
        <v>1059</v>
      </c>
      <c r="E72" s="694">
        <v>24</v>
      </c>
      <c r="F72" s="700">
        <f>G72/E72</f>
        <v>1.3298611111111112</v>
      </c>
      <c r="G72" s="655">
        <v>31.916666666666668</v>
      </c>
      <c r="H72" s="694">
        <f>Num_FFD_Prgms_Full</f>
        <v>24</v>
      </c>
      <c r="I72" s="700">
        <f>J72/H72</f>
        <v>1.6145833333333333</v>
      </c>
      <c r="J72" s="655">
        <f>(15/60) * 'Data '!C55</f>
        <v>38.75</v>
      </c>
      <c r="K72" s="714">
        <f t="shared" si="29"/>
        <v>6.8333333333333321</v>
      </c>
      <c r="L72" s="732"/>
      <c r="M72" s="733" t="s">
        <v>1080</v>
      </c>
      <c r="N72" s="717" t="s">
        <v>433</v>
      </c>
      <c r="O72" s="512" t="s">
        <v>1159</v>
      </c>
      <c r="P72" s="905"/>
    </row>
    <row r="73" spans="1:16" ht="50" x14ac:dyDescent="0.3">
      <c r="A73" s="881"/>
      <c r="B73" s="898" t="s">
        <v>1058</v>
      </c>
      <c r="C73" s="879"/>
      <c r="D73" s="514" t="s">
        <v>1188</v>
      </c>
      <c r="E73" s="789" t="s">
        <v>935</v>
      </c>
      <c r="F73" s="790"/>
      <c r="G73" s="692"/>
      <c r="H73" s="791" t="s">
        <v>705</v>
      </c>
      <c r="I73" s="792"/>
      <c r="J73" s="792"/>
      <c r="K73" s="656">
        <f t="shared" ref="K73" si="31">J73-G73</f>
        <v>0</v>
      </c>
      <c r="L73" s="773"/>
      <c r="M73" s="793"/>
      <c r="N73" s="775"/>
      <c r="O73" s="511" t="s">
        <v>1104</v>
      </c>
      <c r="P73" s="905"/>
    </row>
    <row r="74" spans="1:16" ht="50" x14ac:dyDescent="0.3">
      <c r="A74" s="881" t="s">
        <v>375</v>
      </c>
      <c r="B74" s="895" t="s">
        <v>1060</v>
      </c>
      <c r="C74" s="879"/>
      <c r="D74" s="514" t="s">
        <v>1013</v>
      </c>
      <c r="E74" s="734" t="s">
        <v>705</v>
      </c>
      <c r="F74" s="692"/>
      <c r="G74" s="692"/>
      <c r="H74" s="734" t="s">
        <v>705</v>
      </c>
      <c r="I74" s="692"/>
      <c r="J74" s="692"/>
      <c r="K74" s="656">
        <f t="shared" si="29"/>
        <v>0</v>
      </c>
      <c r="L74" s="773"/>
      <c r="M74" s="774"/>
      <c r="N74" s="775"/>
      <c r="O74" s="776"/>
      <c r="P74" s="911"/>
    </row>
    <row r="75" spans="1:16" ht="62.5" x14ac:dyDescent="0.3">
      <c r="A75" s="881"/>
      <c r="B75" s="895" t="s">
        <v>1060</v>
      </c>
      <c r="C75" s="879"/>
      <c r="D75" s="618" t="s">
        <v>1057</v>
      </c>
      <c r="E75" s="228" t="s">
        <v>706</v>
      </c>
      <c r="F75" s="244"/>
      <c r="G75" s="244"/>
      <c r="H75" s="228" t="s">
        <v>706</v>
      </c>
      <c r="I75" s="229"/>
      <c r="J75" s="229"/>
      <c r="K75" s="737">
        <f t="shared" si="29"/>
        <v>0</v>
      </c>
      <c r="L75" s="738"/>
      <c r="M75" s="739"/>
      <c r="N75" s="740"/>
      <c r="O75" s="740"/>
      <c r="P75" s="906"/>
    </row>
    <row r="76" spans="1:16" ht="50" x14ac:dyDescent="0.3">
      <c r="A76" s="881"/>
      <c r="B76" s="895" t="s">
        <v>1060</v>
      </c>
      <c r="C76" s="879"/>
      <c r="D76" s="514" t="s">
        <v>1019</v>
      </c>
      <c r="E76" s="734" t="s">
        <v>706</v>
      </c>
      <c r="F76" s="734"/>
      <c r="G76" s="734"/>
      <c r="H76" s="734" t="s">
        <v>706</v>
      </c>
      <c r="I76" s="692"/>
      <c r="J76" s="735"/>
      <c r="K76" s="656">
        <f t="shared" si="29"/>
        <v>0</v>
      </c>
      <c r="L76" s="657"/>
      <c r="M76" s="736"/>
      <c r="N76" s="684"/>
      <c r="O76" s="684"/>
      <c r="P76" s="906"/>
    </row>
    <row r="77" spans="1:16" ht="50" x14ac:dyDescent="0.3">
      <c r="A77" s="881"/>
      <c r="B77" s="895" t="s">
        <v>1060</v>
      </c>
      <c r="C77" s="879"/>
      <c r="D77" s="618" t="s">
        <v>1020</v>
      </c>
      <c r="E77" s="250" t="s">
        <v>706</v>
      </c>
      <c r="F77" s="250"/>
      <c r="G77" s="250"/>
      <c r="H77" s="250" t="s">
        <v>706</v>
      </c>
      <c r="I77" s="652"/>
      <c r="J77" s="653"/>
      <c r="K77" s="656">
        <f t="shared" si="29"/>
        <v>0</v>
      </c>
      <c r="L77" s="657"/>
      <c r="M77" s="658"/>
      <c r="N77" s="659"/>
      <c r="O77" s="659"/>
      <c r="P77" s="906"/>
    </row>
    <row r="78" spans="1:16" ht="37.5" x14ac:dyDescent="0.3">
      <c r="A78" s="881"/>
      <c r="B78" s="895" t="s">
        <v>1060</v>
      </c>
      <c r="C78" s="879"/>
      <c r="D78" s="618" t="s">
        <v>1021</v>
      </c>
      <c r="E78" s="250" t="s">
        <v>707</v>
      </c>
      <c r="F78" s="652"/>
      <c r="G78" s="653"/>
      <c r="H78" s="250" t="s">
        <v>707</v>
      </c>
      <c r="I78" s="652"/>
      <c r="J78" s="653"/>
      <c r="K78" s="656">
        <f t="shared" si="29"/>
        <v>0</v>
      </c>
      <c r="L78" s="657"/>
      <c r="M78" s="658"/>
      <c r="N78" s="659"/>
      <c r="O78" s="659"/>
      <c r="P78" s="906"/>
    </row>
    <row r="79" spans="1:16" ht="37.5" x14ac:dyDescent="0.3">
      <c r="A79" s="881" t="s">
        <v>375</v>
      </c>
      <c r="B79" s="895" t="s">
        <v>1060</v>
      </c>
      <c r="C79" s="879"/>
      <c r="D79" s="618" t="s">
        <v>1191</v>
      </c>
      <c r="E79" s="250" t="s">
        <v>706</v>
      </c>
      <c r="F79" s="652"/>
      <c r="G79" s="653"/>
      <c r="H79" s="250" t="s">
        <v>706</v>
      </c>
      <c r="I79" s="652"/>
      <c r="J79" s="653"/>
      <c r="K79" s="656">
        <f t="shared" si="29"/>
        <v>0</v>
      </c>
      <c r="L79" s="657"/>
      <c r="M79" s="658"/>
      <c r="N79" s="659"/>
      <c r="O79" s="659"/>
      <c r="P79" s="906"/>
    </row>
    <row r="80" spans="1:16" ht="37.5" x14ac:dyDescent="0.3">
      <c r="A80" s="881"/>
      <c r="B80" s="895" t="s">
        <v>1060</v>
      </c>
      <c r="C80" s="879"/>
      <c r="D80" s="618" t="s">
        <v>1190</v>
      </c>
      <c r="E80" s="250" t="s">
        <v>706</v>
      </c>
      <c r="F80" s="652"/>
      <c r="G80" s="653"/>
      <c r="H80" s="250" t="s">
        <v>706</v>
      </c>
      <c r="I80" s="652"/>
      <c r="J80" s="653"/>
      <c r="K80" s="656">
        <f t="shared" si="29"/>
        <v>0</v>
      </c>
      <c r="L80" s="657"/>
      <c r="M80" s="658"/>
      <c r="N80" s="659"/>
      <c r="O80" s="659"/>
      <c r="P80" s="906"/>
    </row>
    <row r="81" spans="1:16" ht="37.5" x14ac:dyDescent="0.3">
      <c r="A81" s="881"/>
      <c r="B81" s="895" t="s">
        <v>1060</v>
      </c>
      <c r="C81" s="879"/>
      <c r="D81" s="618" t="s">
        <v>1189</v>
      </c>
      <c r="E81" s="250" t="s">
        <v>706</v>
      </c>
      <c r="F81" s="652"/>
      <c r="G81" s="653"/>
      <c r="H81" s="250" t="s">
        <v>706</v>
      </c>
      <c r="I81" s="652"/>
      <c r="J81" s="653"/>
      <c r="K81" s="656">
        <f t="shared" si="29"/>
        <v>0</v>
      </c>
      <c r="L81" s="657"/>
      <c r="M81" s="658"/>
      <c r="N81" s="659"/>
      <c r="O81" s="659"/>
      <c r="P81" s="906"/>
    </row>
    <row r="82" spans="1:16" ht="125" x14ac:dyDescent="0.3">
      <c r="A82" s="899" t="s">
        <v>373</v>
      </c>
      <c r="B82" s="895" t="s">
        <v>1060</v>
      </c>
      <c r="C82" s="879"/>
      <c r="D82" s="618" t="s">
        <v>1022</v>
      </c>
      <c r="E82" s="694">
        <v>24</v>
      </c>
      <c r="F82" s="230">
        <f>G82/E82</f>
        <v>169.46689814814815</v>
      </c>
      <c r="G82" s="655">
        <v>4067.2055555555553</v>
      </c>
      <c r="H82" s="694">
        <f t="shared" ref="H82" si="32">Num_FFD_Prgms_Full</f>
        <v>24</v>
      </c>
      <c r="I82" s="230">
        <f>J82/H82</f>
        <v>149.0708333333333</v>
      </c>
      <c r="J82" s="655">
        <f>Num_Tests_Total * (2/60)</f>
        <v>3577.6999999999994</v>
      </c>
      <c r="K82" s="656">
        <f t="shared" si="29"/>
        <v>-489.50555555555593</v>
      </c>
      <c r="L82" s="657"/>
      <c r="M82" s="685" t="s">
        <v>1081</v>
      </c>
      <c r="N82" s="659" t="s">
        <v>440</v>
      </c>
      <c r="O82" s="624" t="s">
        <v>1192</v>
      </c>
      <c r="P82" s="910"/>
    </row>
    <row r="83" spans="1:16" ht="50" x14ac:dyDescent="0.3">
      <c r="A83" s="881" t="s">
        <v>375</v>
      </c>
      <c r="B83" s="892"/>
      <c r="C83" s="879"/>
      <c r="D83" s="618" t="s">
        <v>876</v>
      </c>
      <c r="E83" s="694">
        <v>12</v>
      </c>
      <c r="F83" s="655">
        <v>2</v>
      </c>
      <c r="G83" s="655">
        <f t="shared" si="26"/>
        <v>24</v>
      </c>
      <c r="H83" s="694">
        <f>Num_FFD_Prgms_Full/2</f>
        <v>12</v>
      </c>
      <c r="I83" s="230">
        <v>2</v>
      </c>
      <c r="J83" s="655">
        <f t="shared" ref="J83:J103" si="33">H83*I83</f>
        <v>24</v>
      </c>
      <c r="K83" s="656">
        <f t="shared" si="29"/>
        <v>0</v>
      </c>
      <c r="L83" s="657"/>
      <c r="M83" s="658"/>
      <c r="N83" s="659"/>
      <c r="O83" s="659"/>
      <c r="P83" s="906"/>
    </row>
    <row r="84" spans="1:16" ht="37.5" x14ac:dyDescent="0.3">
      <c r="A84" s="881" t="s">
        <v>375</v>
      </c>
      <c r="B84" s="892"/>
      <c r="C84" s="879"/>
      <c r="D84" s="618" t="s">
        <v>441</v>
      </c>
      <c r="E84" s="694">
        <v>12</v>
      </c>
      <c r="F84" s="655">
        <v>1</v>
      </c>
      <c r="G84" s="655">
        <f t="shared" si="26"/>
        <v>12</v>
      </c>
      <c r="H84" s="694">
        <f>Num_FFD_Prgms_Full/2</f>
        <v>12</v>
      </c>
      <c r="I84" s="230">
        <v>1</v>
      </c>
      <c r="J84" s="655">
        <f t="shared" si="33"/>
        <v>12</v>
      </c>
      <c r="K84" s="656">
        <f t="shared" si="29"/>
        <v>0</v>
      </c>
      <c r="L84" s="657"/>
      <c r="M84" s="658"/>
      <c r="N84" s="659"/>
      <c r="O84" s="659"/>
      <c r="P84" s="906"/>
    </row>
    <row r="85" spans="1:16" ht="103.5" customHeight="1" x14ac:dyDescent="0.3">
      <c r="A85" s="881" t="s">
        <v>309</v>
      </c>
      <c r="B85" s="893"/>
      <c r="C85" s="879"/>
      <c r="D85" s="618" t="s">
        <v>442</v>
      </c>
      <c r="E85" s="699">
        <v>3</v>
      </c>
      <c r="F85" s="655">
        <v>16</v>
      </c>
      <c r="G85" s="655">
        <f t="shared" si="26"/>
        <v>48</v>
      </c>
      <c r="H85" s="699">
        <f t="shared" ref="H85:H92" si="34">Num_LTFs</f>
        <v>0</v>
      </c>
      <c r="I85" s="230">
        <v>16</v>
      </c>
      <c r="J85" s="655">
        <f t="shared" si="33"/>
        <v>0</v>
      </c>
      <c r="K85" s="656">
        <f t="shared" si="29"/>
        <v>-48</v>
      </c>
      <c r="L85" s="657"/>
      <c r="M85" s="685" t="s">
        <v>1082</v>
      </c>
      <c r="N85" s="659" t="s">
        <v>443</v>
      </c>
      <c r="O85" s="624" t="s">
        <v>1166</v>
      </c>
      <c r="P85" s="906"/>
    </row>
    <row r="86" spans="1:16" ht="50" x14ac:dyDescent="0.3">
      <c r="A86" s="881" t="s">
        <v>309</v>
      </c>
      <c r="B86" s="893"/>
      <c r="C86" s="879"/>
      <c r="D86" s="618" t="s">
        <v>925</v>
      </c>
      <c r="E86" s="699">
        <v>3</v>
      </c>
      <c r="F86" s="655">
        <v>40</v>
      </c>
      <c r="G86" s="655">
        <f t="shared" si="26"/>
        <v>120</v>
      </c>
      <c r="H86" s="699">
        <f t="shared" si="34"/>
        <v>0</v>
      </c>
      <c r="I86" s="230">
        <v>40</v>
      </c>
      <c r="J86" s="655">
        <f t="shared" si="33"/>
        <v>0</v>
      </c>
      <c r="K86" s="656">
        <f t="shared" si="29"/>
        <v>-120</v>
      </c>
      <c r="L86" s="657"/>
      <c r="M86" s="658"/>
      <c r="N86" s="659"/>
      <c r="O86" s="659"/>
      <c r="P86" s="906"/>
    </row>
    <row r="87" spans="1:16" ht="37.5" x14ac:dyDescent="0.3">
      <c r="A87" s="881" t="s">
        <v>309</v>
      </c>
      <c r="B87" s="893"/>
      <c r="C87" s="879"/>
      <c r="D87" s="618" t="s">
        <v>444</v>
      </c>
      <c r="E87" s="699">
        <v>3</v>
      </c>
      <c r="F87" s="655">
        <v>4</v>
      </c>
      <c r="G87" s="655">
        <f t="shared" si="26"/>
        <v>12</v>
      </c>
      <c r="H87" s="699">
        <f t="shared" si="34"/>
        <v>0</v>
      </c>
      <c r="I87" s="230">
        <v>4</v>
      </c>
      <c r="J87" s="655">
        <f t="shared" si="33"/>
        <v>0</v>
      </c>
      <c r="K87" s="656">
        <f t="shared" si="29"/>
        <v>-12</v>
      </c>
      <c r="L87" s="657"/>
      <c r="M87" s="658"/>
      <c r="N87" s="659"/>
      <c r="O87" s="659"/>
      <c r="P87" s="906"/>
    </row>
    <row r="88" spans="1:16" ht="37.5" x14ac:dyDescent="0.3">
      <c r="A88" s="881" t="s">
        <v>309</v>
      </c>
      <c r="B88" s="895" t="s">
        <v>1060</v>
      </c>
      <c r="C88" s="879"/>
      <c r="D88" s="618" t="s">
        <v>1023</v>
      </c>
      <c r="E88" s="699">
        <v>3</v>
      </c>
      <c r="F88" s="655">
        <v>0.5</v>
      </c>
      <c r="G88" s="655">
        <f t="shared" si="26"/>
        <v>1.5</v>
      </c>
      <c r="H88" s="699">
        <f t="shared" si="34"/>
        <v>0</v>
      </c>
      <c r="I88" s="230">
        <v>0.5</v>
      </c>
      <c r="J88" s="655">
        <f t="shared" si="33"/>
        <v>0</v>
      </c>
      <c r="K88" s="656">
        <f t="shared" si="29"/>
        <v>-1.5</v>
      </c>
      <c r="L88" s="657"/>
      <c r="M88" s="658"/>
      <c r="N88" s="659"/>
      <c r="O88" s="659"/>
      <c r="P88" s="906"/>
    </row>
    <row r="89" spans="1:16" ht="37.5" x14ac:dyDescent="0.3">
      <c r="A89" s="881" t="s">
        <v>309</v>
      </c>
      <c r="B89" s="893"/>
      <c r="C89" s="879"/>
      <c r="D89" s="618" t="s">
        <v>445</v>
      </c>
      <c r="E89" s="699">
        <v>0</v>
      </c>
      <c r="F89" s="655">
        <v>1</v>
      </c>
      <c r="G89" s="655">
        <f t="shared" si="26"/>
        <v>0</v>
      </c>
      <c r="H89" s="699">
        <v>0</v>
      </c>
      <c r="I89" s="230">
        <v>1</v>
      </c>
      <c r="J89" s="655">
        <f t="shared" si="33"/>
        <v>0</v>
      </c>
      <c r="K89" s="656">
        <f t="shared" si="29"/>
        <v>0</v>
      </c>
      <c r="L89" s="657"/>
      <c r="M89" s="658"/>
      <c r="N89" s="659"/>
      <c r="O89" s="659"/>
      <c r="P89" s="906"/>
    </row>
    <row r="90" spans="1:16" ht="37.5" x14ac:dyDescent="0.3">
      <c r="A90" s="881" t="s">
        <v>309</v>
      </c>
      <c r="B90" s="893"/>
      <c r="C90" s="879"/>
      <c r="D90" s="618" t="s">
        <v>446</v>
      </c>
      <c r="E90" s="699">
        <v>3</v>
      </c>
      <c r="F90" s="655">
        <v>80</v>
      </c>
      <c r="G90" s="655">
        <f t="shared" si="26"/>
        <v>240</v>
      </c>
      <c r="H90" s="699">
        <f t="shared" si="34"/>
        <v>0</v>
      </c>
      <c r="I90" s="230">
        <v>80</v>
      </c>
      <c r="J90" s="655">
        <f t="shared" si="33"/>
        <v>0</v>
      </c>
      <c r="K90" s="656">
        <f t="shared" si="29"/>
        <v>-240</v>
      </c>
      <c r="L90" s="657"/>
      <c r="M90" s="658"/>
      <c r="N90" s="659"/>
      <c r="O90" s="659"/>
      <c r="P90" s="906"/>
    </row>
    <row r="91" spans="1:16" ht="37.5" x14ac:dyDescent="0.3">
      <c r="A91" s="881" t="s">
        <v>309</v>
      </c>
      <c r="B91" s="895" t="s">
        <v>430</v>
      </c>
      <c r="C91" s="879"/>
      <c r="D91" s="618" t="s">
        <v>447</v>
      </c>
      <c r="E91" s="699">
        <v>3</v>
      </c>
      <c r="F91" s="655">
        <v>0.5</v>
      </c>
      <c r="G91" s="655">
        <f t="shared" ref="G91" si="35">E91*F91</f>
        <v>1.5</v>
      </c>
      <c r="H91" s="250" t="s">
        <v>708</v>
      </c>
      <c r="I91" s="652"/>
      <c r="J91" s="653"/>
      <c r="K91" s="656">
        <f t="shared" si="29"/>
        <v>-1.5</v>
      </c>
      <c r="L91" s="657"/>
      <c r="M91" s="658"/>
      <c r="N91" s="659"/>
      <c r="O91" s="625"/>
      <c r="P91" s="906"/>
    </row>
    <row r="92" spans="1:16" ht="25" x14ac:dyDescent="0.3">
      <c r="A92" s="881" t="s">
        <v>309</v>
      </c>
      <c r="B92" s="893"/>
      <c r="C92" s="879"/>
      <c r="D92" s="618" t="s">
        <v>448</v>
      </c>
      <c r="E92" s="699">
        <v>3</v>
      </c>
      <c r="F92" s="655">
        <v>4</v>
      </c>
      <c r="G92" s="655">
        <f t="shared" si="26"/>
        <v>12</v>
      </c>
      <c r="H92" s="699">
        <f t="shared" si="34"/>
        <v>0</v>
      </c>
      <c r="I92" s="230">
        <v>4</v>
      </c>
      <c r="J92" s="655">
        <f t="shared" si="33"/>
        <v>0</v>
      </c>
      <c r="K92" s="656">
        <f t="shared" si="29"/>
        <v>-12</v>
      </c>
      <c r="L92" s="657"/>
      <c r="M92" s="658"/>
      <c r="N92" s="659"/>
      <c r="O92" s="659"/>
      <c r="P92" s="906"/>
    </row>
    <row r="93" spans="1:16" ht="37.5" x14ac:dyDescent="0.3">
      <c r="A93" s="881" t="s">
        <v>309</v>
      </c>
      <c r="B93" s="892"/>
      <c r="C93" s="879"/>
      <c r="D93" s="618" t="s">
        <v>449</v>
      </c>
      <c r="E93" s="699">
        <v>0</v>
      </c>
      <c r="F93" s="655">
        <v>40</v>
      </c>
      <c r="G93" s="655">
        <f t="shared" si="26"/>
        <v>0</v>
      </c>
      <c r="H93" s="699">
        <v>0</v>
      </c>
      <c r="I93" s="230">
        <v>40</v>
      </c>
      <c r="J93" s="655">
        <f t="shared" si="33"/>
        <v>0</v>
      </c>
      <c r="K93" s="656">
        <f t="shared" si="29"/>
        <v>0</v>
      </c>
      <c r="L93" s="657"/>
      <c r="M93" s="658"/>
      <c r="N93" s="659"/>
      <c r="O93" s="659"/>
      <c r="P93" s="906"/>
    </row>
    <row r="94" spans="1:16" ht="37.5" x14ac:dyDescent="0.3">
      <c r="A94" s="881" t="s">
        <v>309</v>
      </c>
      <c r="B94" s="892"/>
      <c r="C94" s="879"/>
      <c r="D94" s="618" t="s">
        <v>450</v>
      </c>
      <c r="E94" s="699">
        <v>0</v>
      </c>
      <c r="F94" s="655">
        <v>20</v>
      </c>
      <c r="G94" s="655">
        <f t="shared" si="26"/>
        <v>0</v>
      </c>
      <c r="H94" s="699">
        <v>0</v>
      </c>
      <c r="I94" s="230">
        <v>20</v>
      </c>
      <c r="J94" s="655">
        <f t="shared" si="33"/>
        <v>0</v>
      </c>
      <c r="K94" s="656">
        <f t="shared" si="29"/>
        <v>0</v>
      </c>
      <c r="L94" s="657"/>
      <c r="M94" s="658"/>
      <c r="N94" s="659"/>
      <c r="O94" s="659"/>
      <c r="P94" s="906"/>
    </row>
    <row r="95" spans="1:16" ht="37.5" x14ac:dyDescent="0.3">
      <c r="A95" s="881" t="s">
        <v>309</v>
      </c>
      <c r="B95" s="892"/>
      <c r="C95" s="879"/>
      <c r="D95" s="701" t="s">
        <v>451</v>
      </c>
      <c r="E95" s="699">
        <v>0</v>
      </c>
      <c r="F95" s="655">
        <v>40</v>
      </c>
      <c r="G95" s="655">
        <f t="shared" ref="G95" si="36">E95*F95</f>
        <v>0</v>
      </c>
      <c r="H95" s="699">
        <v>0</v>
      </c>
      <c r="I95" s="230">
        <v>40</v>
      </c>
      <c r="J95" s="655">
        <f t="shared" si="33"/>
        <v>0</v>
      </c>
      <c r="K95" s="656">
        <f t="shared" si="29"/>
        <v>0</v>
      </c>
      <c r="L95" s="657"/>
      <c r="M95" s="658"/>
      <c r="N95" s="659"/>
      <c r="O95" s="659"/>
      <c r="P95" s="906"/>
    </row>
    <row r="96" spans="1:16" ht="37.5" x14ac:dyDescent="0.3">
      <c r="A96" s="881" t="s">
        <v>309</v>
      </c>
      <c r="B96" s="893"/>
      <c r="C96" s="879"/>
      <c r="D96" s="701" t="s">
        <v>452</v>
      </c>
      <c r="E96" s="699">
        <v>3</v>
      </c>
      <c r="F96" s="655">
        <v>40</v>
      </c>
      <c r="G96" s="655">
        <f t="shared" ref="G96" si="37">E96*F96</f>
        <v>120</v>
      </c>
      <c r="H96" s="699">
        <f t="shared" ref="H96" si="38">Num_LTFs</f>
        <v>0</v>
      </c>
      <c r="I96" s="230">
        <v>40</v>
      </c>
      <c r="J96" s="655">
        <f t="shared" si="33"/>
        <v>0</v>
      </c>
      <c r="K96" s="656">
        <f t="shared" si="29"/>
        <v>-120</v>
      </c>
      <c r="L96" s="657"/>
      <c r="M96" s="658"/>
      <c r="N96" s="659"/>
      <c r="O96" s="659"/>
      <c r="P96" s="906"/>
    </row>
    <row r="97" spans="1:16" ht="25" x14ac:dyDescent="0.3">
      <c r="A97" s="881"/>
      <c r="B97" s="892"/>
      <c r="C97" s="879"/>
      <c r="D97" s="618" t="s">
        <v>453</v>
      </c>
      <c r="E97" s="250" t="s">
        <v>709</v>
      </c>
      <c r="F97" s="652"/>
      <c r="G97" s="653"/>
      <c r="H97" s="250" t="s">
        <v>709</v>
      </c>
      <c r="I97" s="652"/>
      <c r="J97" s="653"/>
      <c r="K97" s="656">
        <f t="shared" si="29"/>
        <v>0</v>
      </c>
      <c r="L97" s="657"/>
      <c r="M97" s="658"/>
      <c r="N97" s="659"/>
      <c r="O97" s="659"/>
      <c r="P97" s="906"/>
    </row>
    <row r="98" spans="1:16" x14ac:dyDescent="0.3">
      <c r="A98" s="881" t="s">
        <v>309</v>
      </c>
      <c r="B98" s="893"/>
      <c r="C98" s="879"/>
      <c r="D98" s="618" t="s">
        <v>454</v>
      </c>
      <c r="E98" s="699">
        <v>3</v>
      </c>
      <c r="F98" s="655">
        <v>8</v>
      </c>
      <c r="G98" s="655">
        <f t="shared" si="26"/>
        <v>24</v>
      </c>
      <c r="H98" s="699">
        <f>Num_LTFs</f>
        <v>0</v>
      </c>
      <c r="I98" s="230">
        <v>8</v>
      </c>
      <c r="J98" s="655">
        <f t="shared" si="33"/>
        <v>0</v>
      </c>
      <c r="K98" s="656">
        <f t="shared" si="29"/>
        <v>-24</v>
      </c>
      <c r="L98" s="657"/>
      <c r="M98" s="658"/>
      <c r="N98" s="659"/>
      <c r="O98" s="659"/>
      <c r="P98" s="906"/>
    </row>
    <row r="99" spans="1:16" x14ac:dyDescent="0.3">
      <c r="A99" s="881" t="s">
        <v>309</v>
      </c>
      <c r="B99" s="893"/>
      <c r="C99" s="879"/>
      <c r="D99" s="618" t="s">
        <v>455</v>
      </c>
      <c r="E99" s="699">
        <v>3</v>
      </c>
      <c r="F99" s="655">
        <v>40</v>
      </c>
      <c r="G99" s="655">
        <f t="shared" si="26"/>
        <v>120</v>
      </c>
      <c r="H99" s="699">
        <f>Num_LTFs</f>
        <v>0</v>
      </c>
      <c r="I99" s="230">
        <v>40</v>
      </c>
      <c r="J99" s="655">
        <f t="shared" si="33"/>
        <v>0</v>
      </c>
      <c r="K99" s="656">
        <f t="shared" si="29"/>
        <v>-120</v>
      </c>
      <c r="L99" s="657"/>
      <c r="M99" s="658"/>
      <c r="N99" s="659"/>
      <c r="O99" s="659"/>
      <c r="P99" s="906"/>
    </row>
    <row r="100" spans="1:16" ht="37.5" x14ac:dyDescent="0.3">
      <c r="A100" s="881" t="s">
        <v>309</v>
      </c>
      <c r="B100" s="893"/>
      <c r="C100" s="879"/>
      <c r="D100" s="618" t="s">
        <v>727</v>
      </c>
      <c r="E100" s="699">
        <v>3</v>
      </c>
      <c r="F100" s="655">
        <v>40</v>
      </c>
      <c r="G100" s="655">
        <f t="shared" si="26"/>
        <v>120</v>
      </c>
      <c r="H100" s="699">
        <f>Num_LTFs</f>
        <v>0</v>
      </c>
      <c r="I100" s="230">
        <v>40</v>
      </c>
      <c r="J100" s="655">
        <f t="shared" si="33"/>
        <v>0</v>
      </c>
      <c r="K100" s="656">
        <f t="shared" si="29"/>
        <v>-120</v>
      </c>
      <c r="L100" s="657"/>
      <c r="M100" s="658"/>
      <c r="N100" s="659"/>
      <c r="O100" s="659"/>
      <c r="P100" s="906"/>
    </row>
    <row r="101" spans="1:16" ht="25" x14ac:dyDescent="0.3">
      <c r="A101" s="881" t="s">
        <v>375</v>
      </c>
      <c r="B101" s="893"/>
      <c r="C101" s="879"/>
      <c r="D101" s="618" t="s">
        <v>754</v>
      </c>
      <c r="E101" s="694">
        <v>24</v>
      </c>
      <c r="F101" s="655">
        <v>0.5</v>
      </c>
      <c r="G101" s="655">
        <f t="shared" si="26"/>
        <v>12</v>
      </c>
      <c r="H101" s="694">
        <f>Num_FFD_Prgms_Full</f>
        <v>24</v>
      </c>
      <c r="I101" s="230">
        <v>0.5</v>
      </c>
      <c r="J101" s="655">
        <f t="shared" si="33"/>
        <v>12</v>
      </c>
      <c r="K101" s="656">
        <f t="shared" si="29"/>
        <v>0</v>
      </c>
      <c r="L101" s="657"/>
      <c r="M101" s="658"/>
      <c r="N101" s="659"/>
      <c r="O101" s="659"/>
      <c r="P101" s="906"/>
    </row>
    <row r="102" spans="1:16" ht="37.5" x14ac:dyDescent="0.3">
      <c r="A102" s="881"/>
      <c r="B102" s="892"/>
      <c r="C102" s="879"/>
      <c r="D102" s="618" t="s">
        <v>1152</v>
      </c>
      <c r="E102" s="694">
        <v>0</v>
      </c>
      <c r="F102" s="655">
        <v>1</v>
      </c>
      <c r="G102" s="655">
        <f t="shared" si="26"/>
        <v>0</v>
      </c>
      <c r="H102" s="694">
        <v>0</v>
      </c>
      <c r="I102" s="230">
        <v>1</v>
      </c>
      <c r="J102" s="655">
        <f t="shared" si="33"/>
        <v>0</v>
      </c>
      <c r="K102" s="656">
        <f t="shared" si="29"/>
        <v>0</v>
      </c>
      <c r="L102" s="657"/>
      <c r="M102" s="658"/>
      <c r="N102" s="659"/>
      <c r="O102" s="659"/>
      <c r="P102" s="906"/>
    </row>
    <row r="103" spans="1:16" ht="25" x14ac:dyDescent="0.3">
      <c r="A103" s="881" t="s">
        <v>375</v>
      </c>
      <c r="B103" s="892"/>
      <c r="C103" s="879"/>
      <c r="D103" s="618" t="s">
        <v>456</v>
      </c>
      <c r="E103" s="694">
        <v>24</v>
      </c>
      <c r="F103" s="655">
        <v>0.5</v>
      </c>
      <c r="G103" s="655">
        <f t="shared" si="26"/>
        <v>12</v>
      </c>
      <c r="H103" s="694">
        <f>Num_FFD_Prgms_Full</f>
        <v>24</v>
      </c>
      <c r="I103" s="230">
        <v>0.5</v>
      </c>
      <c r="J103" s="655">
        <f t="shared" si="33"/>
        <v>12</v>
      </c>
      <c r="K103" s="656">
        <f t="shared" si="29"/>
        <v>0</v>
      </c>
      <c r="L103" s="657"/>
      <c r="M103" s="658"/>
      <c r="N103" s="659"/>
      <c r="O103" s="659"/>
      <c r="P103" s="906"/>
    </row>
    <row r="104" spans="1:16" ht="50" x14ac:dyDescent="0.3">
      <c r="A104" s="881"/>
      <c r="B104" s="895" t="s">
        <v>691</v>
      </c>
      <c r="C104" s="879"/>
      <c r="D104" s="618" t="s">
        <v>1024</v>
      </c>
      <c r="E104" s="250" t="s">
        <v>710</v>
      </c>
      <c r="F104" s="652"/>
      <c r="G104" s="653"/>
      <c r="H104" s="250" t="s">
        <v>715</v>
      </c>
      <c r="I104" s="652"/>
      <c r="J104" s="653"/>
      <c r="K104" s="656">
        <f t="shared" si="29"/>
        <v>0</v>
      </c>
      <c r="L104" s="657"/>
      <c r="M104" s="658"/>
      <c r="N104" s="659"/>
      <c r="O104" s="659"/>
      <c r="P104" s="906"/>
    </row>
    <row r="105" spans="1:16" ht="37.5" x14ac:dyDescent="0.3">
      <c r="A105" s="881"/>
      <c r="B105" s="892"/>
      <c r="C105" s="879"/>
      <c r="D105" s="618" t="s">
        <v>457</v>
      </c>
      <c r="E105" s="250" t="s">
        <v>711</v>
      </c>
      <c r="F105" s="652"/>
      <c r="G105" s="653"/>
      <c r="H105" s="250" t="s">
        <v>708</v>
      </c>
      <c r="I105" s="652"/>
      <c r="J105" s="653"/>
      <c r="K105" s="656">
        <f t="shared" si="29"/>
        <v>0</v>
      </c>
      <c r="L105" s="657"/>
      <c r="M105" s="658"/>
      <c r="N105" s="659"/>
      <c r="O105" s="659"/>
      <c r="P105" s="906"/>
    </row>
    <row r="106" spans="1:16" ht="50" x14ac:dyDescent="0.3">
      <c r="A106" s="881"/>
      <c r="B106" s="892"/>
      <c r="C106" s="879"/>
      <c r="D106" s="618" t="s">
        <v>1025</v>
      </c>
      <c r="E106" s="250" t="s">
        <v>712</v>
      </c>
      <c r="F106" s="652"/>
      <c r="G106" s="653"/>
      <c r="H106" s="250" t="s">
        <v>716</v>
      </c>
      <c r="I106" s="652"/>
      <c r="J106" s="653"/>
      <c r="K106" s="656">
        <f t="shared" si="29"/>
        <v>0</v>
      </c>
      <c r="L106" s="657"/>
      <c r="M106" s="658"/>
      <c r="N106" s="659"/>
      <c r="O106" s="659"/>
      <c r="P106" s="906"/>
    </row>
    <row r="107" spans="1:16" ht="50" x14ac:dyDescent="0.3">
      <c r="A107" s="881"/>
      <c r="B107" s="892"/>
      <c r="C107" s="879"/>
      <c r="D107" s="618" t="s">
        <v>458</v>
      </c>
      <c r="E107" s="250" t="s">
        <v>711</v>
      </c>
      <c r="F107" s="652"/>
      <c r="G107" s="653"/>
      <c r="H107" s="250" t="s">
        <v>708</v>
      </c>
      <c r="I107" s="652"/>
      <c r="J107" s="653"/>
      <c r="K107" s="656">
        <f t="shared" si="29"/>
        <v>0</v>
      </c>
      <c r="L107" s="657"/>
      <c r="M107" s="658"/>
      <c r="N107" s="659"/>
      <c r="O107" s="659"/>
      <c r="P107" s="906"/>
    </row>
    <row r="108" spans="1:16" ht="50" x14ac:dyDescent="0.3">
      <c r="A108" s="881"/>
      <c r="B108" s="892"/>
      <c r="C108" s="879"/>
      <c r="D108" s="618" t="s">
        <v>1153</v>
      </c>
      <c r="E108" s="250" t="s">
        <v>712</v>
      </c>
      <c r="F108" s="688"/>
      <c r="G108" s="653"/>
      <c r="H108" s="250" t="s">
        <v>716</v>
      </c>
      <c r="I108" s="652"/>
      <c r="J108" s="653"/>
      <c r="K108" s="656">
        <f t="shared" si="29"/>
        <v>0</v>
      </c>
      <c r="L108" s="657"/>
      <c r="M108" s="658"/>
      <c r="N108" s="659"/>
      <c r="O108" s="659"/>
      <c r="P108" s="906"/>
    </row>
    <row r="109" spans="1:16" ht="200" x14ac:dyDescent="0.3">
      <c r="A109" s="881" t="s">
        <v>373</v>
      </c>
      <c r="B109" s="893"/>
      <c r="C109" s="879"/>
      <c r="D109" s="618" t="s">
        <v>789</v>
      </c>
      <c r="E109" s="702">
        <v>24</v>
      </c>
      <c r="F109" s="230">
        <f>G109/E109</f>
        <v>1.1666666666666667</v>
      </c>
      <c r="G109" s="655">
        <v>28</v>
      </c>
      <c r="H109" s="694">
        <f>Num_FFD_Prgms_Full</f>
        <v>24</v>
      </c>
      <c r="I109" s="230">
        <f>J109/H109</f>
        <v>1.5416666666666667</v>
      </c>
      <c r="J109" s="655">
        <f>ROUNDUP((5/100) * ('Data '!C44) * (60/60),0)</f>
        <v>37</v>
      </c>
      <c r="K109" s="656">
        <f t="shared" si="29"/>
        <v>9</v>
      </c>
      <c r="L109" s="657"/>
      <c r="M109" s="685" t="s">
        <v>1083</v>
      </c>
      <c r="N109" s="659" t="s">
        <v>459</v>
      </c>
      <c r="O109" s="624" t="s">
        <v>1126</v>
      </c>
      <c r="P109" s="906"/>
    </row>
    <row r="110" spans="1:16" ht="50" x14ac:dyDescent="0.3">
      <c r="A110" s="881"/>
      <c r="B110" s="892"/>
      <c r="C110" s="879"/>
      <c r="D110" s="618" t="s">
        <v>1026</v>
      </c>
      <c r="E110" s="250" t="s">
        <v>708</v>
      </c>
      <c r="F110" s="688"/>
      <c r="G110" s="653"/>
      <c r="H110" s="250" t="s">
        <v>708</v>
      </c>
      <c r="I110" s="652"/>
      <c r="J110" s="653"/>
      <c r="K110" s="656">
        <f t="shared" si="29"/>
        <v>0</v>
      </c>
      <c r="L110" s="657"/>
      <c r="M110" s="658"/>
      <c r="N110" s="659"/>
      <c r="O110" s="659"/>
      <c r="P110" s="906"/>
    </row>
    <row r="111" spans="1:16" ht="50" x14ac:dyDescent="0.3">
      <c r="A111" s="881"/>
      <c r="B111" s="892"/>
      <c r="C111" s="879"/>
      <c r="D111" s="618" t="s">
        <v>1027</v>
      </c>
      <c r="E111" s="694">
        <v>0</v>
      </c>
      <c r="F111" s="655">
        <v>6</v>
      </c>
      <c r="G111" s="655">
        <f t="shared" ref="G111:G113" si="39">E111*F111</f>
        <v>0</v>
      </c>
      <c r="H111" s="694">
        <v>0</v>
      </c>
      <c r="I111" s="230">
        <v>6</v>
      </c>
      <c r="J111" s="655">
        <f t="shared" ref="J111:J115" si="40">H111*I111</f>
        <v>0</v>
      </c>
      <c r="K111" s="656">
        <f t="shared" si="29"/>
        <v>0</v>
      </c>
      <c r="L111" s="657"/>
      <c r="M111" s="658"/>
      <c r="N111" s="659"/>
      <c r="O111" s="659"/>
      <c r="P111" s="906"/>
    </row>
    <row r="112" spans="1:16" ht="37.5" x14ac:dyDescent="0.3">
      <c r="A112" s="881"/>
      <c r="B112" s="892"/>
      <c r="C112" s="879"/>
      <c r="D112" s="618" t="s">
        <v>460</v>
      </c>
      <c r="E112" s="694">
        <v>0</v>
      </c>
      <c r="F112" s="655">
        <v>8</v>
      </c>
      <c r="G112" s="655">
        <f t="shared" si="39"/>
        <v>0</v>
      </c>
      <c r="H112" s="694">
        <v>0</v>
      </c>
      <c r="I112" s="230">
        <v>8</v>
      </c>
      <c r="J112" s="655">
        <f t="shared" si="40"/>
        <v>0</v>
      </c>
      <c r="K112" s="656">
        <f t="shared" si="29"/>
        <v>0</v>
      </c>
      <c r="L112" s="657"/>
      <c r="M112" s="658"/>
      <c r="N112" s="659"/>
      <c r="O112" s="659"/>
      <c r="P112" s="906"/>
    </row>
    <row r="113" spans="1:16" ht="87.5" x14ac:dyDescent="0.3">
      <c r="A113" s="881"/>
      <c r="B113" s="900"/>
      <c r="C113" s="879"/>
      <c r="D113" s="618" t="s">
        <v>461</v>
      </c>
      <c r="E113" s="694">
        <v>0</v>
      </c>
      <c r="F113" s="655">
        <v>1</v>
      </c>
      <c r="G113" s="655">
        <f t="shared" si="39"/>
        <v>0</v>
      </c>
      <c r="H113" s="694">
        <v>0</v>
      </c>
      <c r="I113" s="230">
        <v>1</v>
      </c>
      <c r="J113" s="655">
        <f t="shared" si="40"/>
        <v>0</v>
      </c>
      <c r="K113" s="656">
        <f t="shared" si="29"/>
        <v>0</v>
      </c>
      <c r="L113" s="657"/>
      <c r="M113" s="658"/>
      <c r="N113" s="659"/>
      <c r="O113" s="659"/>
      <c r="P113" s="906"/>
    </row>
    <row r="114" spans="1:16" ht="158.4" customHeight="1" x14ac:dyDescent="0.3">
      <c r="A114" s="881" t="s">
        <v>375</v>
      </c>
      <c r="B114" s="893"/>
      <c r="C114" s="879"/>
      <c r="D114" s="618" t="s">
        <v>1154</v>
      </c>
      <c r="E114" s="694">
        <v>24</v>
      </c>
      <c r="F114" s="230">
        <f>G114/E114</f>
        <v>2.5</v>
      </c>
      <c r="G114" s="655">
        <v>60</v>
      </c>
      <c r="H114" s="703">
        <f>SUM('Data '!C10,'Data '!C12,'Data '!C13,'Data '!C14)</f>
        <v>60</v>
      </c>
      <c r="I114" s="230">
        <f>J114/H114</f>
        <v>1</v>
      </c>
      <c r="J114" s="655">
        <f>1* (Num_Sites_Reactors_Operating) + SUM('Data '!$C$12,'Data '!$C$13,'Data '!$C$14)</f>
        <v>60</v>
      </c>
      <c r="K114" s="656">
        <f t="shared" si="29"/>
        <v>0</v>
      </c>
      <c r="L114" s="657"/>
      <c r="M114" s="685" t="s">
        <v>1028</v>
      </c>
      <c r="N114" s="659" t="s">
        <v>462</v>
      </c>
      <c r="O114" s="624" t="s">
        <v>1155</v>
      </c>
      <c r="P114" s="912"/>
    </row>
    <row r="115" spans="1:16" ht="285" customHeight="1" x14ac:dyDescent="0.3">
      <c r="A115" s="881" t="s">
        <v>373</v>
      </c>
      <c r="B115" s="895" t="s">
        <v>1060</v>
      </c>
      <c r="C115" s="879"/>
      <c r="D115" s="618" t="s">
        <v>1029</v>
      </c>
      <c r="E115" s="694">
        <v>24</v>
      </c>
      <c r="F115" s="230">
        <f>G115/E115</f>
        <v>33.333333333333329</v>
      </c>
      <c r="G115" s="655">
        <v>799.99999999999989</v>
      </c>
      <c r="H115" s="703">
        <f>SUM('Data '!C10,'Data '!C12,'Data '!C13,'Data '!C14)</f>
        <v>60</v>
      </c>
      <c r="I115" s="230">
        <f>(14*4)*(5/60)</f>
        <v>4.6666666666666661</v>
      </c>
      <c r="J115" s="655">
        <f t="shared" si="40"/>
        <v>279.99999999999994</v>
      </c>
      <c r="K115" s="656">
        <f t="shared" si="29"/>
        <v>-520</v>
      </c>
      <c r="L115" s="657"/>
      <c r="M115" s="685" t="s">
        <v>1030</v>
      </c>
      <c r="N115" s="659" t="s">
        <v>462</v>
      </c>
      <c r="O115" s="624" t="s">
        <v>1156</v>
      </c>
      <c r="P115" s="906"/>
    </row>
    <row r="116" spans="1:16" ht="25" x14ac:dyDescent="0.3">
      <c r="A116" s="881"/>
      <c r="B116" s="892"/>
      <c r="C116" s="879"/>
      <c r="D116" s="618" t="s">
        <v>933</v>
      </c>
      <c r="E116" s="250" t="s">
        <v>713</v>
      </c>
      <c r="F116" s="652"/>
      <c r="G116" s="653"/>
      <c r="H116" s="250" t="s">
        <v>713</v>
      </c>
      <c r="I116" s="652"/>
      <c r="J116" s="653"/>
      <c r="K116" s="656">
        <f t="shared" si="29"/>
        <v>0</v>
      </c>
      <c r="L116" s="657"/>
      <c r="M116" s="658"/>
      <c r="N116" s="659"/>
      <c r="O116" s="659"/>
      <c r="P116" s="906"/>
    </row>
    <row r="117" spans="1:16" ht="37.5" x14ac:dyDescent="0.3">
      <c r="A117" s="881"/>
      <c r="B117" s="892"/>
      <c r="C117" s="879"/>
      <c r="D117" s="618" t="s">
        <v>934</v>
      </c>
      <c r="E117" s="250" t="s">
        <v>713</v>
      </c>
      <c r="F117" s="652"/>
      <c r="G117" s="653"/>
      <c r="H117" s="250" t="s">
        <v>713</v>
      </c>
      <c r="I117" s="652"/>
      <c r="J117" s="653"/>
      <c r="K117" s="656">
        <f t="shared" si="29"/>
        <v>0</v>
      </c>
      <c r="L117" s="657"/>
      <c r="M117" s="658"/>
      <c r="N117" s="659"/>
      <c r="O117" s="659"/>
      <c r="P117" s="906"/>
    </row>
    <row r="118" spans="1:16" ht="62.5" x14ac:dyDescent="0.3">
      <c r="A118" s="881"/>
      <c r="B118" s="892"/>
      <c r="C118" s="879"/>
      <c r="D118" s="618" t="s">
        <v>950</v>
      </c>
      <c r="E118" s="250" t="s">
        <v>713</v>
      </c>
      <c r="F118" s="652"/>
      <c r="G118" s="653"/>
      <c r="H118" s="250" t="s">
        <v>713</v>
      </c>
      <c r="I118" s="652"/>
      <c r="J118" s="653"/>
      <c r="K118" s="656">
        <f t="shared" si="29"/>
        <v>0</v>
      </c>
      <c r="L118" s="657"/>
      <c r="M118" s="658"/>
      <c r="N118" s="659"/>
      <c r="O118" s="659"/>
      <c r="P118" s="906"/>
    </row>
    <row r="119" spans="1:16" ht="25" x14ac:dyDescent="0.3">
      <c r="A119" s="881"/>
      <c r="B119" s="892"/>
      <c r="C119" s="879"/>
      <c r="D119" s="618" t="s">
        <v>463</v>
      </c>
      <c r="E119" s="250" t="s">
        <v>713</v>
      </c>
      <c r="F119" s="652"/>
      <c r="G119" s="653"/>
      <c r="H119" s="250" t="s">
        <v>713</v>
      </c>
      <c r="I119" s="652"/>
      <c r="J119" s="653"/>
      <c r="K119" s="656">
        <f t="shared" si="29"/>
        <v>0</v>
      </c>
      <c r="L119" s="657"/>
      <c r="M119" s="658"/>
      <c r="N119" s="659"/>
      <c r="O119" s="659"/>
      <c r="P119" s="906"/>
    </row>
    <row r="120" spans="1:16" ht="37.5" x14ac:dyDescent="0.3">
      <c r="A120" s="881"/>
      <c r="B120" s="892"/>
      <c r="C120" s="879"/>
      <c r="D120" s="618" t="s">
        <v>464</v>
      </c>
      <c r="E120" s="250" t="s">
        <v>714</v>
      </c>
      <c r="F120" s="652"/>
      <c r="G120" s="653"/>
      <c r="H120" s="250" t="s">
        <v>714</v>
      </c>
      <c r="I120" s="652"/>
      <c r="J120" s="653"/>
      <c r="K120" s="656">
        <f t="shared" si="29"/>
        <v>0</v>
      </c>
      <c r="L120" s="657"/>
      <c r="M120" s="658"/>
      <c r="N120" s="659"/>
      <c r="O120" s="659"/>
      <c r="P120" s="906"/>
    </row>
    <row r="121" spans="1:16" ht="25" x14ac:dyDescent="0.3">
      <c r="A121" s="881"/>
      <c r="B121" s="892"/>
      <c r="C121" s="879"/>
      <c r="D121" s="618" t="s">
        <v>465</v>
      </c>
      <c r="E121" s="250" t="s">
        <v>713</v>
      </c>
      <c r="F121" s="652"/>
      <c r="G121" s="653"/>
      <c r="H121" s="250" t="s">
        <v>713</v>
      </c>
      <c r="I121" s="652"/>
      <c r="J121" s="653"/>
      <c r="K121" s="656">
        <f t="shared" si="29"/>
        <v>0</v>
      </c>
      <c r="L121" s="657"/>
      <c r="M121" s="658"/>
      <c r="N121" s="659"/>
      <c r="O121" s="659"/>
      <c r="P121" s="906"/>
    </row>
    <row r="122" spans="1:16" ht="133.5" customHeight="1" x14ac:dyDescent="0.3">
      <c r="A122" s="881" t="s">
        <v>373</v>
      </c>
      <c r="B122" s="895" t="s">
        <v>1060</v>
      </c>
      <c r="C122" s="879"/>
      <c r="D122" s="618" t="s">
        <v>1031</v>
      </c>
      <c r="E122" s="702">
        <v>24</v>
      </c>
      <c r="F122" s="230">
        <f>G122/E122</f>
        <v>42.366724537037037</v>
      </c>
      <c r="G122" s="655">
        <v>1016.8013888888888</v>
      </c>
      <c r="H122" s="702">
        <f>Num_FFD_Prgms_Full</f>
        <v>24</v>
      </c>
      <c r="I122" s="230">
        <f>J122/H122</f>
        <v>37.267708333333324</v>
      </c>
      <c r="J122" s="655">
        <f>Num_Tests_Total * (0.5/60)</f>
        <v>894.42499999999984</v>
      </c>
      <c r="K122" s="656">
        <f t="shared" si="29"/>
        <v>-122.37638888888898</v>
      </c>
      <c r="L122" s="657"/>
      <c r="M122" s="685" t="s">
        <v>1084</v>
      </c>
      <c r="N122" s="659" t="s">
        <v>466</v>
      </c>
      <c r="O122" s="624" t="s">
        <v>1131</v>
      </c>
      <c r="P122" s="906"/>
    </row>
    <row r="123" spans="1:16" ht="37.5" x14ac:dyDescent="0.3">
      <c r="A123" s="881"/>
      <c r="B123" s="895" t="s">
        <v>1060</v>
      </c>
      <c r="C123" s="879"/>
      <c r="D123" s="618" t="s">
        <v>1032</v>
      </c>
      <c r="E123" s="250" t="s">
        <v>715</v>
      </c>
      <c r="F123" s="652"/>
      <c r="G123" s="653"/>
      <c r="H123" s="250" t="s">
        <v>715</v>
      </c>
      <c r="I123" s="652"/>
      <c r="J123" s="653"/>
      <c r="K123" s="656">
        <f t="shared" si="29"/>
        <v>0</v>
      </c>
      <c r="L123" s="657"/>
      <c r="M123" s="658"/>
      <c r="N123" s="659"/>
      <c r="O123" s="659"/>
      <c r="P123" s="906"/>
    </row>
    <row r="124" spans="1:16" ht="25" x14ac:dyDescent="0.3">
      <c r="A124" s="881" t="s">
        <v>375</v>
      </c>
      <c r="B124" s="892"/>
      <c r="C124" s="879"/>
      <c r="D124" s="618" t="s">
        <v>467</v>
      </c>
      <c r="E124" s="702">
        <v>24</v>
      </c>
      <c r="F124" s="655">
        <v>2</v>
      </c>
      <c r="G124" s="655">
        <f t="shared" ref="G124:G151" si="41">E124*F124</f>
        <v>48</v>
      </c>
      <c r="H124" s="702">
        <f t="shared" ref="H124:H129" si="42">Num_FFD_Prgms_Full</f>
        <v>24</v>
      </c>
      <c r="I124" s="230">
        <v>2</v>
      </c>
      <c r="J124" s="655">
        <f t="shared" ref="J124:J125" si="43">H124*I124</f>
        <v>48</v>
      </c>
      <c r="K124" s="656">
        <f t="shared" si="29"/>
        <v>0</v>
      </c>
      <c r="L124" s="657"/>
      <c r="M124" s="658"/>
      <c r="N124" s="659"/>
      <c r="O124" s="659"/>
      <c r="P124" s="906"/>
    </row>
    <row r="125" spans="1:16" x14ac:dyDescent="0.3">
      <c r="A125" s="881" t="s">
        <v>375</v>
      </c>
      <c r="B125" s="892"/>
      <c r="C125" s="879"/>
      <c r="D125" s="618" t="s">
        <v>468</v>
      </c>
      <c r="E125" s="702">
        <v>24</v>
      </c>
      <c r="F125" s="655">
        <v>4</v>
      </c>
      <c r="G125" s="655">
        <f t="shared" si="41"/>
        <v>96</v>
      </c>
      <c r="H125" s="702">
        <f t="shared" si="42"/>
        <v>24</v>
      </c>
      <c r="I125" s="230">
        <v>4</v>
      </c>
      <c r="J125" s="655">
        <f t="shared" si="43"/>
        <v>96</v>
      </c>
      <c r="K125" s="656">
        <f t="shared" si="29"/>
        <v>0</v>
      </c>
      <c r="L125" s="657"/>
      <c r="M125" s="658"/>
      <c r="N125" s="659"/>
      <c r="O125" s="659"/>
      <c r="P125" s="906"/>
    </row>
    <row r="126" spans="1:16" ht="162" customHeight="1" x14ac:dyDescent="0.3">
      <c r="A126" s="881" t="s">
        <v>373</v>
      </c>
      <c r="B126" s="895" t="s">
        <v>1060</v>
      </c>
      <c r="C126" s="879"/>
      <c r="D126" s="618" t="s">
        <v>1167</v>
      </c>
      <c r="E126" s="702">
        <v>24</v>
      </c>
      <c r="F126" s="230">
        <f>G126/E126</f>
        <v>1.9409722222222221</v>
      </c>
      <c r="G126" s="655">
        <v>46.583333333333329</v>
      </c>
      <c r="H126" s="702">
        <f t="shared" si="42"/>
        <v>24</v>
      </c>
      <c r="I126" s="230">
        <f>J126/H126</f>
        <v>2.5625</v>
      </c>
      <c r="J126" s="655">
        <f xml:space="preserve"> 'Data '!C44 * (5/60)</f>
        <v>61.5</v>
      </c>
      <c r="K126" s="656">
        <f t="shared" si="29"/>
        <v>14.916666666666671</v>
      </c>
      <c r="L126" s="657"/>
      <c r="M126" s="685" t="s">
        <v>1085</v>
      </c>
      <c r="N126" s="659" t="s">
        <v>466</v>
      </c>
      <c r="O126" s="624" t="s">
        <v>1033</v>
      </c>
      <c r="P126" s="906"/>
    </row>
    <row r="127" spans="1:16" ht="93" customHeight="1" x14ac:dyDescent="0.3">
      <c r="A127" s="881" t="s">
        <v>373</v>
      </c>
      <c r="B127" s="893"/>
      <c r="C127" s="879"/>
      <c r="D127" s="618" t="s">
        <v>1168</v>
      </c>
      <c r="E127" s="702">
        <v>24</v>
      </c>
      <c r="F127" s="230">
        <f>G127/E127</f>
        <v>1.9409722222222221</v>
      </c>
      <c r="G127" s="655">
        <v>46.583333333333329</v>
      </c>
      <c r="H127" s="702">
        <f t="shared" si="42"/>
        <v>24</v>
      </c>
      <c r="I127" s="230">
        <f>J127/H127</f>
        <v>2.5625</v>
      </c>
      <c r="J127" s="655">
        <f>'Data '!C44 * (5/60)</f>
        <v>61.5</v>
      </c>
      <c r="K127" s="656">
        <f t="shared" si="29"/>
        <v>14.916666666666671</v>
      </c>
      <c r="L127" s="657"/>
      <c r="M127" s="685" t="s">
        <v>1086</v>
      </c>
      <c r="N127" s="659" t="s">
        <v>466</v>
      </c>
      <c r="O127" s="624" t="s">
        <v>1018</v>
      </c>
      <c r="P127" s="906"/>
    </row>
    <row r="128" spans="1:16" ht="87.5" x14ac:dyDescent="0.3">
      <c r="A128" s="881" t="s">
        <v>373</v>
      </c>
      <c r="B128" s="893"/>
      <c r="C128" s="879"/>
      <c r="D128" s="618" t="s">
        <v>469</v>
      </c>
      <c r="E128" s="702">
        <v>24</v>
      </c>
      <c r="F128" s="230">
        <f>G128/E128</f>
        <v>254.20034722222223</v>
      </c>
      <c r="G128" s="655">
        <v>6100.8083333333334</v>
      </c>
      <c r="H128" s="702">
        <f t="shared" si="42"/>
        <v>24</v>
      </c>
      <c r="I128" s="230">
        <f>J128/H128</f>
        <v>223.60624999999996</v>
      </c>
      <c r="J128" s="655">
        <f>Num_Tests_Total*(3/60)</f>
        <v>5366.5499999999993</v>
      </c>
      <c r="K128" s="656">
        <f t="shared" si="29"/>
        <v>-734.25833333333412</v>
      </c>
      <c r="L128" s="657"/>
      <c r="M128" s="685" t="s">
        <v>1034</v>
      </c>
      <c r="N128" s="659" t="s">
        <v>672</v>
      </c>
      <c r="O128" s="624" t="s">
        <v>1035</v>
      </c>
      <c r="P128" s="906"/>
    </row>
    <row r="129" spans="1:16" ht="75" x14ac:dyDescent="0.3">
      <c r="A129" s="881" t="s">
        <v>373</v>
      </c>
      <c r="B129" s="895" t="s">
        <v>1060</v>
      </c>
      <c r="C129" s="879"/>
      <c r="D129" s="618" t="s">
        <v>1169</v>
      </c>
      <c r="E129" s="702">
        <v>24</v>
      </c>
      <c r="F129" s="230">
        <f>G129/E129</f>
        <v>2.3291666666666671</v>
      </c>
      <c r="G129" s="655">
        <v>55.900000000000006</v>
      </c>
      <c r="H129" s="702">
        <f t="shared" si="42"/>
        <v>24</v>
      </c>
      <c r="I129" s="230">
        <f>J129/H129</f>
        <v>3.0749999999999997</v>
      </c>
      <c r="J129" s="655">
        <f xml:space="preserve"> (6/60) * 'Data '!C44</f>
        <v>73.8</v>
      </c>
      <c r="K129" s="656">
        <f t="shared" si="29"/>
        <v>17.899999999999991</v>
      </c>
      <c r="L129" s="657"/>
      <c r="M129" s="685" t="s">
        <v>1036</v>
      </c>
      <c r="N129" s="659" t="s">
        <v>672</v>
      </c>
      <c r="O129" s="777" t="s">
        <v>1037</v>
      </c>
      <c r="P129" s="906"/>
    </row>
    <row r="130" spans="1:16" ht="37.5" x14ac:dyDescent="0.3">
      <c r="A130" s="881"/>
      <c r="B130" s="892"/>
      <c r="C130" s="879"/>
      <c r="D130" s="618" t="s">
        <v>928</v>
      </c>
      <c r="E130" s="250" t="s">
        <v>713</v>
      </c>
      <c r="F130" s="652"/>
      <c r="G130" s="653"/>
      <c r="H130" s="250" t="s">
        <v>713</v>
      </c>
      <c r="I130" s="652"/>
      <c r="J130" s="653"/>
      <c r="K130" s="656">
        <f t="shared" ref="K130:K194" si="44">J130-G130</f>
        <v>0</v>
      </c>
      <c r="L130" s="657"/>
      <c r="M130" s="658"/>
      <c r="N130" s="659"/>
      <c r="O130" s="659"/>
      <c r="P130" s="906"/>
    </row>
    <row r="131" spans="1:16" ht="87.5" x14ac:dyDescent="0.3">
      <c r="A131" s="881" t="s">
        <v>373</v>
      </c>
      <c r="B131" s="895" t="s">
        <v>1060</v>
      </c>
      <c r="C131" s="879"/>
      <c r="D131" s="618" t="s">
        <v>929</v>
      </c>
      <c r="E131" s="702">
        <v>24</v>
      </c>
      <c r="F131" s="230">
        <f>G131/E131</f>
        <v>11.645833333333334</v>
      </c>
      <c r="G131" s="655">
        <v>279.5</v>
      </c>
      <c r="H131" s="702">
        <f>Num_FFD_Prgms_Full</f>
        <v>24</v>
      </c>
      <c r="I131" s="230">
        <f>J131/H131</f>
        <v>15.375</v>
      </c>
      <c r="J131" s="655">
        <f>(30/60) * 'Data '!C44</f>
        <v>369</v>
      </c>
      <c r="K131" s="656">
        <f t="shared" si="44"/>
        <v>89.5</v>
      </c>
      <c r="L131" s="657"/>
      <c r="M131" s="685" t="s">
        <v>1038</v>
      </c>
      <c r="N131" s="659" t="s">
        <v>672</v>
      </c>
      <c r="O131" s="624" t="s">
        <v>1039</v>
      </c>
      <c r="P131" s="906"/>
    </row>
    <row r="132" spans="1:16" ht="25" x14ac:dyDescent="0.3">
      <c r="A132" s="881"/>
      <c r="B132" s="892"/>
      <c r="C132" s="879"/>
      <c r="D132" s="618" t="s">
        <v>470</v>
      </c>
      <c r="E132" s="250" t="s">
        <v>712</v>
      </c>
      <c r="F132" s="652"/>
      <c r="G132" s="653"/>
      <c r="H132" s="250" t="s">
        <v>716</v>
      </c>
      <c r="I132" s="652"/>
      <c r="J132" s="653"/>
      <c r="K132" s="656">
        <f t="shared" si="44"/>
        <v>0</v>
      </c>
      <c r="L132" s="657"/>
      <c r="M132" s="658"/>
      <c r="N132" s="659"/>
      <c r="O132" s="659"/>
      <c r="P132" s="906"/>
    </row>
    <row r="133" spans="1:16" ht="37.5" x14ac:dyDescent="0.3">
      <c r="A133" s="881" t="s">
        <v>375</v>
      </c>
      <c r="B133" s="892"/>
      <c r="C133" s="879"/>
      <c r="D133" s="618" t="s">
        <v>471</v>
      </c>
      <c r="E133" s="702">
        <v>24</v>
      </c>
      <c r="F133" s="655">
        <v>0.5</v>
      </c>
      <c r="G133" s="655">
        <f t="shared" si="41"/>
        <v>12</v>
      </c>
      <c r="H133" s="702">
        <f t="shared" ref="H133:H134" si="45">Num_FFD_Prgms_Full</f>
        <v>24</v>
      </c>
      <c r="I133" s="230">
        <v>0.5</v>
      </c>
      <c r="J133" s="655">
        <f t="shared" ref="J133:J134" si="46">H133*I133</f>
        <v>12</v>
      </c>
      <c r="K133" s="656">
        <f t="shared" si="44"/>
        <v>0</v>
      </c>
      <c r="L133" s="657"/>
      <c r="M133" s="658"/>
      <c r="N133" s="659"/>
      <c r="O133" s="659"/>
      <c r="P133" s="906"/>
    </row>
    <row r="134" spans="1:16" ht="37.5" x14ac:dyDescent="0.3">
      <c r="A134" s="881" t="s">
        <v>375</v>
      </c>
      <c r="B134" s="892"/>
      <c r="C134" s="879"/>
      <c r="D134" s="618" t="s">
        <v>472</v>
      </c>
      <c r="E134" s="702">
        <v>24</v>
      </c>
      <c r="F134" s="655">
        <v>0.5</v>
      </c>
      <c r="G134" s="655">
        <f t="shared" si="41"/>
        <v>12</v>
      </c>
      <c r="H134" s="702">
        <f t="shared" si="45"/>
        <v>24</v>
      </c>
      <c r="I134" s="230">
        <f t="shared" ref="I134" si="47">F134</f>
        <v>0.5</v>
      </c>
      <c r="J134" s="655">
        <f t="shared" si="46"/>
        <v>12</v>
      </c>
      <c r="K134" s="656">
        <f t="shared" si="44"/>
        <v>0</v>
      </c>
      <c r="L134" s="657"/>
      <c r="M134" s="658"/>
      <c r="N134" s="659"/>
      <c r="O134" s="659"/>
      <c r="P134" s="906"/>
    </row>
    <row r="135" spans="1:16" ht="25" x14ac:dyDescent="0.3">
      <c r="A135" s="881"/>
      <c r="B135" s="892"/>
      <c r="C135" s="879"/>
      <c r="D135" s="618" t="s">
        <v>473</v>
      </c>
      <c r="E135" s="250" t="s">
        <v>716</v>
      </c>
      <c r="F135" s="652"/>
      <c r="G135" s="653"/>
      <c r="H135" s="250" t="s">
        <v>716</v>
      </c>
      <c r="I135" s="652"/>
      <c r="J135" s="653"/>
      <c r="K135" s="656">
        <f t="shared" si="44"/>
        <v>0</v>
      </c>
      <c r="L135" s="657"/>
      <c r="M135" s="658"/>
      <c r="N135" s="659"/>
      <c r="O135" s="659"/>
      <c r="P135" s="906"/>
    </row>
    <row r="136" spans="1:16" ht="50" x14ac:dyDescent="0.3">
      <c r="A136" s="881"/>
      <c r="B136" s="895" t="s">
        <v>1058</v>
      </c>
      <c r="C136" s="879"/>
      <c r="D136" s="618" t="s">
        <v>949</v>
      </c>
      <c r="E136" s="729" t="s">
        <v>935</v>
      </c>
      <c r="F136" s="652"/>
      <c r="G136" s="653"/>
      <c r="H136" s="654">
        <v>1</v>
      </c>
      <c r="I136" s="230">
        <v>1</v>
      </c>
      <c r="J136" s="655">
        <f>H136*I136</f>
        <v>1</v>
      </c>
      <c r="K136" s="656">
        <f t="shared" si="44"/>
        <v>1</v>
      </c>
      <c r="L136" s="657"/>
      <c r="M136" s="658"/>
      <c r="N136" s="659"/>
      <c r="O136" s="625" t="s">
        <v>951</v>
      </c>
      <c r="P136" s="906"/>
    </row>
    <row r="137" spans="1:16" ht="25" x14ac:dyDescent="0.3">
      <c r="A137" s="881"/>
      <c r="B137" s="892"/>
      <c r="C137" s="879"/>
      <c r="D137" s="618" t="s">
        <v>474</v>
      </c>
      <c r="E137" s="250" t="s">
        <v>716</v>
      </c>
      <c r="F137" s="652"/>
      <c r="G137" s="653"/>
      <c r="H137" s="250" t="s">
        <v>716</v>
      </c>
      <c r="I137" s="652"/>
      <c r="J137" s="653"/>
      <c r="K137" s="656">
        <f t="shared" si="44"/>
        <v>0</v>
      </c>
      <c r="L137" s="657"/>
      <c r="M137" s="658"/>
      <c r="N137" s="659"/>
      <c r="O137" s="659"/>
      <c r="P137" s="906"/>
    </row>
    <row r="138" spans="1:16" ht="25" x14ac:dyDescent="0.3">
      <c r="A138" s="881"/>
      <c r="B138" s="892"/>
      <c r="C138" s="879"/>
      <c r="D138" s="618" t="s">
        <v>475</v>
      </c>
      <c r="E138" s="250" t="s">
        <v>717</v>
      </c>
      <c r="F138" s="652"/>
      <c r="G138" s="653"/>
      <c r="H138" s="250" t="s">
        <v>717</v>
      </c>
      <c r="I138" s="652"/>
      <c r="J138" s="653"/>
      <c r="K138" s="656">
        <f t="shared" si="44"/>
        <v>0</v>
      </c>
      <c r="L138" s="657"/>
      <c r="M138" s="658"/>
      <c r="N138" s="659"/>
      <c r="O138" s="659"/>
      <c r="P138" s="906"/>
    </row>
    <row r="139" spans="1:16" ht="37.5" x14ac:dyDescent="0.3">
      <c r="A139" s="881"/>
      <c r="B139" s="892"/>
      <c r="C139" s="879"/>
      <c r="D139" s="618" t="s">
        <v>476</v>
      </c>
      <c r="E139" s="250" t="s">
        <v>697</v>
      </c>
      <c r="F139" s="652"/>
      <c r="G139" s="653"/>
      <c r="H139" s="250" t="s">
        <v>845</v>
      </c>
      <c r="I139" s="652"/>
      <c r="J139" s="653"/>
      <c r="K139" s="656">
        <f t="shared" si="44"/>
        <v>0</v>
      </c>
      <c r="L139" s="657"/>
      <c r="M139" s="658"/>
      <c r="N139" s="659"/>
      <c r="O139" s="659"/>
      <c r="P139" s="906"/>
    </row>
    <row r="140" spans="1:16" ht="37.5" x14ac:dyDescent="0.3">
      <c r="A140" s="881"/>
      <c r="B140" s="892"/>
      <c r="C140" s="879"/>
      <c r="D140" s="618" t="s">
        <v>477</v>
      </c>
      <c r="E140" s="250" t="s">
        <v>716</v>
      </c>
      <c r="F140" s="652"/>
      <c r="G140" s="653"/>
      <c r="H140" s="250" t="s">
        <v>716</v>
      </c>
      <c r="I140" s="652"/>
      <c r="J140" s="653"/>
      <c r="K140" s="656">
        <f t="shared" si="44"/>
        <v>0</v>
      </c>
      <c r="L140" s="657"/>
      <c r="M140" s="658"/>
      <c r="N140" s="659"/>
      <c r="O140" s="659"/>
      <c r="P140" s="906"/>
    </row>
    <row r="141" spans="1:16" ht="25" x14ac:dyDescent="0.3">
      <c r="A141" s="881"/>
      <c r="B141" s="892"/>
      <c r="C141" s="879"/>
      <c r="D141" s="618" t="s">
        <v>478</v>
      </c>
      <c r="E141" s="250" t="s">
        <v>717</v>
      </c>
      <c r="F141" s="652"/>
      <c r="G141" s="653"/>
      <c r="H141" s="250" t="s">
        <v>717</v>
      </c>
      <c r="I141" s="652"/>
      <c r="J141" s="653"/>
      <c r="K141" s="656">
        <f t="shared" si="44"/>
        <v>0</v>
      </c>
      <c r="L141" s="657"/>
      <c r="M141" s="658"/>
      <c r="N141" s="659"/>
      <c r="O141" s="659"/>
      <c r="P141" s="906"/>
    </row>
    <row r="142" spans="1:16" ht="37.5" x14ac:dyDescent="0.3">
      <c r="A142" s="881"/>
      <c r="B142" s="892"/>
      <c r="C142" s="879"/>
      <c r="D142" s="618" t="s">
        <v>479</v>
      </c>
      <c r="E142" s="250" t="s">
        <v>697</v>
      </c>
      <c r="F142" s="652"/>
      <c r="G142" s="653"/>
      <c r="H142" s="250" t="s">
        <v>845</v>
      </c>
      <c r="I142" s="652"/>
      <c r="J142" s="653"/>
      <c r="K142" s="656">
        <f t="shared" si="44"/>
        <v>0</v>
      </c>
      <c r="L142" s="657"/>
      <c r="M142" s="658"/>
      <c r="N142" s="659"/>
      <c r="O142" s="659"/>
      <c r="P142" s="906"/>
    </row>
    <row r="143" spans="1:16" ht="150" x14ac:dyDescent="0.3">
      <c r="A143" s="881" t="s">
        <v>375</v>
      </c>
      <c r="B143" s="901" t="s">
        <v>936</v>
      </c>
      <c r="C143" s="879"/>
      <c r="D143" s="618" t="s">
        <v>939</v>
      </c>
      <c r="E143" s="702">
        <v>24</v>
      </c>
      <c r="F143" s="655">
        <v>2.5</v>
      </c>
      <c r="G143" s="655">
        <f t="shared" si="41"/>
        <v>60</v>
      </c>
      <c r="H143" s="702">
        <f t="shared" ref="H143:H152" si="48">Num_FFD_Prgms_Full</f>
        <v>24</v>
      </c>
      <c r="I143" s="230">
        <f>J143/H143</f>
        <v>3.8333333333333335</v>
      </c>
      <c r="J143" s="655">
        <f>(60/60)* (60 +32)</f>
        <v>92</v>
      </c>
      <c r="K143" s="656">
        <f t="shared" si="44"/>
        <v>32</v>
      </c>
      <c r="L143" s="657"/>
      <c r="M143" s="685" t="s">
        <v>1040</v>
      </c>
      <c r="N143" s="659" t="s">
        <v>673</v>
      </c>
      <c r="O143" s="624" t="s">
        <v>1125</v>
      </c>
      <c r="P143" s="906"/>
    </row>
    <row r="144" spans="1:16" ht="87.5" x14ac:dyDescent="0.3">
      <c r="A144" s="881"/>
      <c r="B144" s="892"/>
      <c r="C144" s="879"/>
      <c r="D144" s="618" t="s">
        <v>894</v>
      </c>
      <c r="E144" s="250" t="s">
        <v>718</v>
      </c>
      <c r="F144" s="652"/>
      <c r="G144" s="653"/>
      <c r="H144" s="250" t="s">
        <v>718</v>
      </c>
      <c r="I144" s="652"/>
      <c r="J144" s="653"/>
      <c r="K144" s="656">
        <f t="shared" si="44"/>
        <v>0</v>
      </c>
      <c r="L144" s="657"/>
      <c r="M144" s="658"/>
      <c r="N144" s="659"/>
      <c r="O144" s="659"/>
      <c r="P144" s="906"/>
    </row>
    <row r="145" spans="1:16" ht="62.5" x14ac:dyDescent="0.3">
      <c r="A145" s="881" t="s">
        <v>375</v>
      </c>
      <c r="B145" s="892"/>
      <c r="C145" s="879"/>
      <c r="D145" s="618" t="s">
        <v>480</v>
      </c>
      <c r="E145" s="655">
        <v>0</v>
      </c>
      <c r="F145" s="655">
        <v>1</v>
      </c>
      <c r="G145" s="655">
        <f t="shared" si="41"/>
        <v>0</v>
      </c>
      <c r="H145" s="655">
        <v>0</v>
      </c>
      <c r="I145" s="230">
        <f t="shared" ref="I145" si="49">F145</f>
        <v>1</v>
      </c>
      <c r="J145" s="655">
        <f t="shared" ref="J145" si="50">H145*I145</f>
        <v>0</v>
      </c>
      <c r="K145" s="656">
        <f t="shared" si="44"/>
        <v>0</v>
      </c>
      <c r="L145" s="657"/>
      <c r="M145" s="658"/>
      <c r="N145" s="659"/>
      <c r="O145" s="659"/>
      <c r="P145" s="906"/>
    </row>
    <row r="146" spans="1:16" ht="75" x14ac:dyDescent="0.3">
      <c r="A146" s="881" t="s">
        <v>373</v>
      </c>
      <c r="B146" s="893"/>
      <c r="C146" s="879"/>
      <c r="D146" s="618" t="s">
        <v>481</v>
      </c>
      <c r="E146" s="250" t="s">
        <v>708</v>
      </c>
      <c r="F146" s="652"/>
      <c r="G146" s="653"/>
      <c r="H146" s="250" t="s">
        <v>708</v>
      </c>
      <c r="I146" s="652"/>
      <c r="J146" s="653"/>
      <c r="K146" s="656">
        <f t="shared" si="44"/>
        <v>0</v>
      </c>
      <c r="L146" s="657"/>
      <c r="M146" s="685" t="s">
        <v>1087</v>
      </c>
      <c r="N146" s="659" t="s">
        <v>674</v>
      </c>
      <c r="O146" s="659"/>
      <c r="P146" s="906"/>
    </row>
    <row r="147" spans="1:16" ht="50" x14ac:dyDescent="0.3">
      <c r="A147" s="881" t="s">
        <v>375</v>
      </c>
      <c r="B147" s="892"/>
      <c r="C147" s="879"/>
      <c r="D147" s="618" t="s">
        <v>482</v>
      </c>
      <c r="E147" s="702">
        <v>24</v>
      </c>
      <c r="F147" s="655">
        <v>0.5</v>
      </c>
      <c r="G147" s="655">
        <f t="shared" si="41"/>
        <v>12</v>
      </c>
      <c r="H147" s="702">
        <f t="shared" si="48"/>
        <v>24</v>
      </c>
      <c r="I147" s="230">
        <v>0.5</v>
      </c>
      <c r="J147" s="655">
        <f t="shared" ref="J147" si="51">H147*I147</f>
        <v>12</v>
      </c>
      <c r="K147" s="656">
        <f t="shared" si="44"/>
        <v>0</v>
      </c>
      <c r="L147" s="657"/>
      <c r="M147" s="658"/>
      <c r="N147" s="659"/>
      <c r="O147" s="659"/>
      <c r="P147" s="906"/>
    </row>
    <row r="148" spans="1:16" ht="37.5" x14ac:dyDescent="0.3">
      <c r="A148" s="881"/>
      <c r="B148" s="892"/>
      <c r="C148" s="879"/>
      <c r="D148" s="618" t="s">
        <v>940</v>
      </c>
      <c r="E148" s="250" t="s">
        <v>716</v>
      </c>
      <c r="F148" s="652"/>
      <c r="G148" s="652"/>
      <c r="H148" s="704" t="s">
        <v>716</v>
      </c>
      <c r="I148" s="652"/>
      <c r="J148" s="653"/>
      <c r="K148" s="656">
        <f t="shared" si="44"/>
        <v>0</v>
      </c>
      <c r="L148" s="657"/>
      <c r="M148" s="658"/>
      <c r="N148" s="659"/>
      <c r="O148" s="659"/>
      <c r="P148" s="906"/>
    </row>
    <row r="149" spans="1:16" x14ac:dyDescent="0.3">
      <c r="A149" s="881" t="s">
        <v>375</v>
      </c>
      <c r="B149" s="892"/>
      <c r="C149" s="879"/>
      <c r="D149" s="618" t="s">
        <v>483</v>
      </c>
      <c r="E149" s="702">
        <v>24</v>
      </c>
      <c r="F149" s="655">
        <v>20</v>
      </c>
      <c r="G149" s="655">
        <f t="shared" si="41"/>
        <v>480</v>
      </c>
      <c r="H149" s="702">
        <f t="shared" si="48"/>
        <v>24</v>
      </c>
      <c r="I149" s="230">
        <v>20</v>
      </c>
      <c r="J149" s="655">
        <f t="shared" ref="J149:J156" si="52">H149*I149</f>
        <v>480</v>
      </c>
      <c r="K149" s="656">
        <f t="shared" si="44"/>
        <v>0</v>
      </c>
      <c r="L149" s="657"/>
      <c r="M149" s="658"/>
      <c r="N149" s="659"/>
      <c r="O149" s="659"/>
      <c r="P149" s="906"/>
    </row>
    <row r="150" spans="1:16" x14ac:dyDescent="0.3">
      <c r="A150" s="881" t="s">
        <v>375</v>
      </c>
      <c r="B150" s="892"/>
      <c r="C150" s="879"/>
      <c r="D150" s="618" t="s">
        <v>1097</v>
      </c>
      <c r="E150" s="702">
        <v>24</v>
      </c>
      <c r="F150" s="655">
        <v>1</v>
      </c>
      <c r="G150" s="655">
        <f t="shared" si="41"/>
        <v>24</v>
      </c>
      <c r="H150" s="702">
        <f t="shared" si="48"/>
        <v>24</v>
      </c>
      <c r="I150" s="230">
        <v>1</v>
      </c>
      <c r="J150" s="655">
        <f t="shared" si="52"/>
        <v>24</v>
      </c>
      <c r="K150" s="656">
        <f t="shared" si="44"/>
        <v>0</v>
      </c>
      <c r="L150" s="657"/>
      <c r="M150" s="658"/>
      <c r="N150" s="659"/>
      <c r="O150" s="659"/>
      <c r="P150" s="906"/>
    </row>
    <row r="151" spans="1:16" x14ac:dyDescent="0.3">
      <c r="A151" s="881" t="s">
        <v>375</v>
      </c>
      <c r="B151" s="892"/>
      <c r="C151" s="879"/>
      <c r="D151" s="618" t="s">
        <v>484</v>
      </c>
      <c r="E151" s="702">
        <v>24</v>
      </c>
      <c r="F151" s="655">
        <v>80</v>
      </c>
      <c r="G151" s="655">
        <f t="shared" si="41"/>
        <v>1920</v>
      </c>
      <c r="H151" s="702">
        <f t="shared" si="48"/>
        <v>24</v>
      </c>
      <c r="I151" s="230">
        <v>80</v>
      </c>
      <c r="J151" s="655">
        <f t="shared" si="52"/>
        <v>1920</v>
      </c>
      <c r="K151" s="656">
        <f t="shared" si="44"/>
        <v>0</v>
      </c>
      <c r="L151" s="657"/>
      <c r="M151" s="658"/>
      <c r="N151" s="659"/>
      <c r="O151" s="659"/>
      <c r="P151" s="906"/>
    </row>
    <row r="152" spans="1:16" ht="112.5" customHeight="1" x14ac:dyDescent="0.3">
      <c r="A152" s="899" t="s">
        <v>373</v>
      </c>
      <c r="B152" s="892"/>
      <c r="C152" s="879"/>
      <c r="D152" s="618" t="s">
        <v>485</v>
      </c>
      <c r="E152" s="702">
        <v>24</v>
      </c>
      <c r="F152" s="230">
        <f>G152/E152</f>
        <v>10.847222222222221</v>
      </c>
      <c r="G152" s="655">
        <v>260.33333333333331</v>
      </c>
      <c r="H152" s="702">
        <f t="shared" si="48"/>
        <v>24</v>
      </c>
      <c r="I152" s="230">
        <f>J152/H152</f>
        <v>7.125</v>
      </c>
      <c r="J152" s="655">
        <f>ROUND(1*Num_Tests_ForCause,0)</f>
        <v>171</v>
      </c>
      <c r="K152" s="656">
        <f t="shared" si="44"/>
        <v>-89.333333333333314</v>
      </c>
      <c r="L152" s="657"/>
      <c r="M152" s="685" t="s">
        <v>1041</v>
      </c>
      <c r="N152" s="659" t="s">
        <v>675</v>
      </c>
      <c r="O152" s="624" t="s">
        <v>1124</v>
      </c>
      <c r="P152" s="906"/>
    </row>
    <row r="153" spans="1:16" ht="25" x14ac:dyDescent="0.3">
      <c r="A153" s="881"/>
      <c r="B153" s="892"/>
      <c r="C153" s="879"/>
      <c r="D153" s="618" t="s">
        <v>486</v>
      </c>
      <c r="E153" s="694">
        <v>1</v>
      </c>
      <c r="F153" s="655">
        <v>1</v>
      </c>
      <c r="G153" s="655">
        <f t="shared" ref="G153:G156" si="53">E153*F153</f>
        <v>1</v>
      </c>
      <c r="H153" s="694">
        <v>1</v>
      </c>
      <c r="I153" s="230">
        <v>1</v>
      </c>
      <c r="J153" s="655">
        <f t="shared" si="52"/>
        <v>1</v>
      </c>
      <c r="K153" s="656">
        <f t="shared" si="44"/>
        <v>0</v>
      </c>
      <c r="L153" s="657"/>
      <c r="M153" s="658"/>
      <c r="N153" s="659"/>
      <c r="O153" s="659"/>
      <c r="P153" s="906"/>
    </row>
    <row r="154" spans="1:16" ht="25" x14ac:dyDescent="0.3">
      <c r="A154" s="881" t="s">
        <v>487</v>
      </c>
      <c r="B154" s="902"/>
      <c r="C154" s="879"/>
      <c r="D154" s="618" t="s">
        <v>488</v>
      </c>
      <c r="E154" s="694">
        <v>0</v>
      </c>
      <c r="F154" s="655">
        <v>7.3</v>
      </c>
      <c r="G154" s="655">
        <f t="shared" si="53"/>
        <v>0</v>
      </c>
      <c r="H154" s="694">
        <v>0</v>
      </c>
      <c r="I154" s="230">
        <v>7.3</v>
      </c>
      <c r="J154" s="655">
        <f t="shared" si="52"/>
        <v>0</v>
      </c>
      <c r="K154" s="656">
        <f t="shared" si="44"/>
        <v>0</v>
      </c>
      <c r="L154" s="657"/>
      <c r="M154" s="658"/>
      <c r="N154" s="659"/>
      <c r="O154" s="659"/>
      <c r="P154" s="906"/>
    </row>
    <row r="155" spans="1:16" ht="25" x14ac:dyDescent="0.3">
      <c r="A155" s="881" t="s">
        <v>487</v>
      </c>
      <c r="B155" s="902"/>
      <c r="C155" s="879"/>
      <c r="D155" s="618" t="s">
        <v>489</v>
      </c>
      <c r="E155" s="694">
        <v>0</v>
      </c>
      <c r="F155" s="655">
        <v>1.7</v>
      </c>
      <c r="G155" s="655">
        <f t="shared" si="53"/>
        <v>0</v>
      </c>
      <c r="H155" s="694">
        <v>0</v>
      </c>
      <c r="I155" s="230">
        <v>1.7</v>
      </c>
      <c r="J155" s="655">
        <f t="shared" si="52"/>
        <v>0</v>
      </c>
      <c r="K155" s="656">
        <f t="shared" si="44"/>
        <v>0</v>
      </c>
      <c r="L155" s="657"/>
      <c r="M155" s="658"/>
      <c r="N155" s="659"/>
      <c r="O155" s="659"/>
      <c r="P155" s="906"/>
    </row>
    <row r="156" spans="1:16" x14ac:dyDescent="0.3">
      <c r="A156" s="881" t="s">
        <v>487</v>
      </c>
      <c r="B156" s="902"/>
      <c r="C156" s="879"/>
      <c r="D156" s="618" t="s">
        <v>490</v>
      </c>
      <c r="E156" s="694">
        <v>0</v>
      </c>
      <c r="F156" s="655">
        <v>2</v>
      </c>
      <c r="G156" s="655">
        <f t="shared" si="53"/>
        <v>0</v>
      </c>
      <c r="H156" s="694">
        <v>0</v>
      </c>
      <c r="I156" s="230">
        <v>2</v>
      </c>
      <c r="J156" s="655">
        <f t="shared" si="52"/>
        <v>0</v>
      </c>
      <c r="K156" s="656">
        <f t="shared" si="44"/>
        <v>0</v>
      </c>
      <c r="L156" s="657"/>
      <c r="M156" s="658"/>
      <c r="N156" s="659"/>
      <c r="O156" s="659"/>
      <c r="P156" s="906"/>
    </row>
    <row r="157" spans="1:16" ht="25" x14ac:dyDescent="0.3">
      <c r="A157" s="881" t="s">
        <v>487</v>
      </c>
      <c r="B157" s="902"/>
      <c r="C157" s="879"/>
      <c r="D157" s="618" t="s">
        <v>491</v>
      </c>
      <c r="E157" s="250" t="s">
        <v>492</v>
      </c>
      <c r="F157" s="688"/>
      <c r="G157" s="653"/>
      <c r="H157" s="250" t="s">
        <v>492</v>
      </c>
      <c r="I157" s="688"/>
      <c r="J157" s="653"/>
      <c r="K157" s="656">
        <f t="shared" si="44"/>
        <v>0</v>
      </c>
      <c r="L157" s="657"/>
      <c r="M157" s="658"/>
      <c r="N157" s="659"/>
      <c r="O157" s="659"/>
      <c r="P157" s="906"/>
    </row>
    <row r="158" spans="1:16" ht="25" x14ac:dyDescent="0.3">
      <c r="A158" s="881" t="s">
        <v>487</v>
      </c>
      <c r="B158" s="902"/>
      <c r="C158" s="879"/>
      <c r="D158" s="618" t="s">
        <v>493</v>
      </c>
      <c r="E158" s="250" t="s">
        <v>719</v>
      </c>
      <c r="F158" s="688"/>
      <c r="G158" s="653"/>
      <c r="H158" s="250" t="s">
        <v>719</v>
      </c>
      <c r="I158" s="688"/>
      <c r="J158" s="653"/>
      <c r="K158" s="656">
        <f t="shared" si="44"/>
        <v>0</v>
      </c>
      <c r="L158" s="657"/>
      <c r="M158" s="658"/>
      <c r="N158" s="659"/>
      <c r="O158" s="659"/>
      <c r="P158" s="906"/>
    </row>
    <row r="159" spans="1:16" ht="25" x14ac:dyDescent="0.3">
      <c r="A159" s="881" t="s">
        <v>487</v>
      </c>
      <c r="B159" s="902"/>
      <c r="C159" s="879"/>
      <c r="D159" s="618" t="s">
        <v>494</v>
      </c>
      <c r="E159" s="250" t="s">
        <v>495</v>
      </c>
      <c r="F159" s="688"/>
      <c r="G159" s="653"/>
      <c r="H159" s="250" t="s">
        <v>495</v>
      </c>
      <c r="I159" s="688"/>
      <c r="J159" s="653"/>
      <c r="K159" s="656">
        <f t="shared" si="44"/>
        <v>0</v>
      </c>
      <c r="L159" s="657"/>
      <c r="M159" s="658"/>
      <c r="N159" s="659"/>
      <c r="O159" s="659"/>
      <c r="P159" s="906"/>
    </row>
    <row r="160" spans="1:16" ht="25" x14ac:dyDescent="0.3">
      <c r="A160" s="881" t="s">
        <v>487</v>
      </c>
      <c r="B160" s="902"/>
      <c r="C160" s="879"/>
      <c r="D160" s="618" t="s">
        <v>496</v>
      </c>
      <c r="E160" s="250" t="s">
        <v>720</v>
      </c>
      <c r="F160" s="688"/>
      <c r="G160" s="653"/>
      <c r="H160" s="250" t="s">
        <v>720</v>
      </c>
      <c r="I160" s="688"/>
      <c r="J160" s="653"/>
      <c r="K160" s="656">
        <f t="shared" si="44"/>
        <v>0</v>
      </c>
      <c r="L160" s="657"/>
      <c r="M160" s="658"/>
      <c r="N160" s="659"/>
      <c r="O160" s="659"/>
      <c r="P160" s="906"/>
    </row>
    <row r="161" spans="1:16" ht="20.25" customHeight="1" x14ac:dyDescent="0.3">
      <c r="A161" s="881" t="s">
        <v>487</v>
      </c>
      <c r="B161" s="893"/>
      <c r="C161" s="879"/>
      <c r="D161" s="618" t="s">
        <v>497</v>
      </c>
      <c r="E161" s="696">
        <v>52</v>
      </c>
      <c r="F161" s="230">
        <v>50</v>
      </c>
      <c r="G161" s="655">
        <f>E161*F161</f>
        <v>2600</v>
      </c>
      <c r="H161" s="696">
        <f t="shared" ref="H161:H169" si="54">Num_Sites_Reactors_Operating</f>
        <v>53</v>
      </c>
      <c r="I161" s="230">
        <v>50</v>
      </c>
      <c r="J161" s="655">
        <f>H161*I161</f>
        <v>2650</v>
      </c>
      <c r="K161" s="656">
        <f t="shared" si="44"/>
        <v>50</v>
      </c>
      <c r="L161" s="657"/>
      <c r="M161" s="685" t="s">
        <v>1088</v>
      </c>
      <c r="N161" s="659" t="s">
        <v>676</v>
      </c>
      <c r="O161" s="659"/>
      <c r="P161" s="906"/>
    </row>
    <row r="162" spans="1:16" ht="21.75" customHeight="1" x14ac:dyDescent="0.3">
      <c r="A162" s="881" t="s">
        <v>487</v>
      </c>
      <c r="B162" s="893"/>
      <c r="C162" s="879"/>
      <c r="D162" s="618" t="s">
        <v>498</v>
      </c>
      <c r="E162" s="696">
        <v>52</v>
      </c>
      <c r="F162" s="230">
        <v>720</v>
      </c>
      <c r="G162" s="655">
        <f t="shared" ref="G162:G184" si="55">E162*F162</f>
        <v>37440</v>
      </c>
      <c r="H162" s="696">
        <f t="shared" si="54"/>
        <v>53</v>
      </c>
      <c r="I162" s="230">
        <v>720</v>
      </c>
      <c r="J162" s="655">
        <f t="shared" ref="J162:J171" si="56">H162*I162</f>
        <v>38160</v>
      </c>
      <c r="K162" s="656">
        <f t="shared" si="44"/>
        <v>720</v>
      </c>
      <c r="L162" s="657"/>
      <c r="M162" s="685" t="s">
        <v>1089</v>
      </c>
      <c r="N162" s="659"/>
      <c r="O162" s="659"/>
      <c r="P162" s="906"/>
    </row>
    <row r="163" spans="1:16" ht="30" customHeight="1" x14ac:dyDescent="0.3">
      <c r="A163" s="881" t="s">
        <v>487</v>
      </c>
      <c r="B163" s="893"/>
      <c r="C163" s="879"/>
      <c r="D163" s="618" t="s">
        <v>1098</v>
      </c>
      <c r="E163" s="696">
        <v>52</v>
      </c>
      <c r="F163" s="230">
        <v>16</v>
      </c>
      <c r="G163" s="655">
        <f t="shared" si="55"/>
        <v>832</v>
      </c>
      <c r="H163" s="696">
        <f t="shared" si="54"/>
        <v>53</v>
      </c>
      <c r="I163" s="230">
        <v>16</v>
      </c>
      <c r="J163" s="655">
        <f t="shared" si="56"/>
        <v>848</v>
      </c>
      <c r="K163" s="656">
        <f t="shared" si="44"/>
        <v>16</v>
      </c>
      <c r="L163" s="657"/>
      <c r="M163" s="695" t="s">
        <v>1042</v>
      </c>
      <c r="N163" s="659"/>
      <c r="O163" s="659"/>
      <c r="P163" s="906"/>
    </row>
    <row r="164" spans="1:16" ht="21.75" customHeight="1" x14ac:dyDescent="0.3">
      <c r="A164" s="881" t="s">
        <v>487</v>
      </c>
      <c r="B164" s="893"/>
      <c r="C164" s="879"/>
      <c r="D164" s="618" t="s">
        <v>499</v>
      </c>
      <c r="E164" s="696">
        <v>52</v>
      </c>
      <c r="F164" s="230">
        <v>16</v>
      </c>
      <c r="G164" s="655">
        <f t="shared" si="55"/>
        <v>832</v>
      </c>
      <c r="H164" s="696">
        <f t="shared" si="54"/>
        <v>53</v>
      </c>
      <c r="I164" s="230">
        <v>16</v>
      </c>
      <c r="J164" s="655">
        <f t="shared" si="56"/>
        <v>848</v>
      </c>
      <c r="K164" s="656">
        <f t="shared" si="44"/>
        <v>16</v>
      </c>
      <c r="L164" s="657"/>
      <c r="M164" s="685" t="s">
        <v>1043</v>
      </c>
      <c r="N164" s="659"/>
      <c r="O164" s="659"/>
      <c r="P164" s="906"/>
    </row>
    <row r="165" spans="1:16" ht="33.75" customHeight="1" x14ac:dyDescent="0.3">
      <c r="A165" s="881" t="s">
        <v>487</v>
      </c>
      <c r="B165" s="893"/>
      <c r="C165" s="879"/>
      <c r="D165" s="618" t="s">
        <v>500</v>
      </c>
      <c r="E165" s="696">
        <v>52</v>
      </c>
      <c r="F165" s="230">
        <v>12</v>
      </c>
      <c r="G165" s="655">
        <f t="shared" si="55"/>
        <v>624</v>
      </c>
      <c r="H165" s="696">
        <f t="shared" si="54"/>
        <v>53</v>
      </c>
      <c r="I165" s="230">
        <v>12</v>
      </c>
      <c r="J165" s="655">
        <f t="shared" si="56"/>
        <v>636</v>
      </c>
      <c r="K165" s="656">
        <f t="shared" si="44"/>
        <v>12</v>
      </c>
      <c r="L165" s="657"/>
      <c r="M165" s="685" t="s">
        <v>1044</v>
      </c>
      <c r="N165" s="659"/>
      <c r="O165" s="659"/>
      <c r="P165" s="906"/>
    </row>
    <row r="166" spans="1:16" ht="27" customHeight="1" x14ac:dyDescent="0.3">
      <c r="A166" s="881" t="s">
        <v>487</v>
      </c>
      <c r="B166" s="893"/>
      <c r="C166" s="879"/>
      <c r="D166" s="618" t="s">
        <v>501</v>
      </c>
      <c r="E166" s="696">
        <v>52</v>
      </c>
      <c r="F166" s="230">
        <v>6</v>
      </c>
      <c r="G166" s="655">
        <f t="shared" si="55"/>
        <v>312</v>
      </c>
      <c r="H166" s="696">
        <f t="shared" si="54"/>
        <v>53</v>
      </c>
      <c r="I166" s="230">
        <v>6</v>
      </c>
      <c r="J166" s="655">
        <f t="shared" si="56"/>
        <v>318</v>
      </c>
      <c r="K166" s="656">
        <f t="shared" si="44"/>
        <v>6</v>
      </c>
      <c r="L166" s="657"/>
      <c r="M166" s="685" t="s">
        <v>1090</v>
      </c>
      <c r="N166" s="659"/>
      <c r="O166" s="659"/>
      <c r="P166" s="906"/>
    </row>
    <row r="167" spans="1:16" ht="34.5" customHeight="1" x14ac:dyDescent="0.3">
      <c r="A167" s="881" t="s">
        <v>487</v>
      </c>
      <c r="B167" s="893"/>
      <c r="C167" s="879"/>
      <c r="D167" s="618" t="s">
        <v>502</v>
      </c>
      <c r="E167" s="696">
        <v>52</v>
      </c>
      <c r="F167" s="230">
        <v>6</v>
      </c>
      <c r="G167" s="655">
        <f t="shared" si="55"/>
        <v>312</v>
      </c>
      <c r="H167" s="696">
        <f t="shared" si="54"/>
        <v>53</v>
      </c>
      <c r="I167" s="230">
        <v>6</v>
      </c>
      <c r="J167" s="655">
        <f t="shared" si="56"/>
        <v>318</v>
      </c>
      <c r="K167" s="656">
        <f t="shared" si="44"/>
        <v>6</v>
      </c>
      <c r="L167" s="657"/>
      <c r="M167" s="685" t="s">
        <v>1090</v>
      </c>
      <c r="N167" s="659"/>
      <c r="O167" s="659"/>
      <c r="P167" s="906"/>
    </row>
    <row r="168" spans="1:16" ht="24" customHeight="1" x14ac:dyDescent="0.3">
      <c r="A168" s="881" t="s">
        <v>487</v>
      </c>
      <c r="B168" s="893"/>
      <c r="C168" s="879"/>
      <c r="D168" s="618" t="s">
        <v>503</v>
      </c>
      <c r="E168" s="696">
        <v>52</v>
      </c>
      <c r="F168" s="230">
        <v>2</v>
      </c>
      <c r="G168" s="655">
        <f t="shared" si="55"/>
        <v>104</v>
      </c>
      <c r="H168" s="696">
        <f t="shared" si="54"/>
        <v>53</v>
      </c>
      <c r="I168" s="230">
        <v>2</v>
      </c>
      <c r="J168" s="655">
        <f t="shared" si="56"/>
        <v>106</v>
      </c>
      <c r="K168" s="656">
        <f t="shared" si="44"/>
        <v>2</v>
      </c>
      <c r="L168" s="657"/>
      <c r="M168" s="685" t="s">
        <v>1045</v>
      </c>
      <c r="N168" s="659"/>
      <c r="O168" s="659"/>
      <c r="P168" s="906"/>
    </row>
    <row r="169" spans="1:16" ht="30" customHeight="1" x14ac:dyDescent="0.3">
      <c r="A169" s="881" t="s">
        <v>487</v>
      </c>
      <c r="B169" s="893"/>
      <c r="C169" s="879"/>
      <c r="D169" s="618" t="s">
        <v>504</v>
      </c>
      <c r="E169" s="696">
        <v>52</v>
      </c>
      <c r="F169" s="230">
        <v>16</v>
      </c>
      <c r="G169" s="655">
        <f t="shared" si="55"/>
        <v>832</v>
      </c>
      <c r="H169" s="696">
        <f t="shared" si="54"/>
        <v>53</v>
      </c>
      <c r="I169" s="230">
        <v>16</v>
      </c>
      <c r="J169" s="655">
        <f t="shared" si="56"/>
        <v>848</v>
      </c>
      <c r="K169" s="656">
        <f t="shared" si="44"/>
        <v>16</v>
      </c>
      <c r="L169" s="657"/>
      <c r="M169" s="685" t="s">
        <v>1091</v>
      </c>
      <c r="N169" s="659"/>
      <c r="O169" s="659"/>
      <c r="P169" s="906"/>
    </row>
    <row r="170" spans="1:16" ht="162.5" x14ac:dyDescent="0.3">
      <c r="A170" s="881" t="s">
        <v>317</v>
      </c>
      <c r="B170" s="892"/>
      <c r="C170" s="879"/>
      <c r="D170" s="618" t="s">
        <v>505</v>
      </c>
      <c r="E170" s="705">
        <v>0.33333333333333331</v>
      </c>
      <c r="F170" s="655">
        <v>16</v>
      </c>
      <c r="G170" s="655">
        <f t="shared" si="55"/>
        <v>5.333333333333333</v>
      </c>
      <c r="H170" s="778">
        <v>0</v>
      </c>
      <c r="I170" s="230">
        <v>16</v>
      </c>
      <c r="J170" s="655">
        <f t="shared" si="56"/>
        <v>0</v>
      </c>
      <c r="K170" s="656">
        <f t="shared" si="44"/>
        <v>-5.333333333333333</v>
      </c>
      <c r="L170" s="657"/>
      <c r="M170" s="685" t="s">
        <v>1092</v>
      </c>
      <c r="N170" s="659" t="s">
        <v>676</v>
      </c>
      <c r="O170" s="624" t="s">
        <v>1172</v>
      </c>
      <c r="P170" s="906"/>
    </row>
    <row r="171" spans="1:16" ht="101.25" customHeight="1" x14ac:dyDescent="0.3">
      <c r="A171" s="881" t="s">
        <v>317</v>
      </c>
      <c r="B171" s="892"/>
      <c r="C171" s="879"/>
      <c r="D171" s="11" t="s">
        <v>506</v>
      </c>
      <c r="E171" s="705">
        <v>0.33333333333333331</v>
      </c>
      <c r="F171" s="691">
        <v>8</v>
      </c>
      <c r="G171" s="691">
        <f t="shared" si="55"/>
        <v>2.6666666666666665</v>
      </c>
      <c r="H171" s="778">
        <f t="shared" ref="H171:H173" si="57">Num_FFD_Prgms_SubK/3</f>
        <v>1.3333333333333333</v>
      </c>
      <c r="I171" s="230">
        <v>8</v>
      </c>
      <c r="J171" s="655">
        <f t="shared" si="56"/>
        <v>10.666666666666666</v>
      </c>
      <c r="K171" s="697">
        <f t="shared" si="44"/>
        <v>8</v>
      </c>
      <c r="L171" s="657"/>
      <c r="M171" s="658"/>
      <c r="N171" s="659"/>
      <c r="O171" s="625" t="s">
        <v>1193</v>
      </c>
      <c r="P171" s="906"/>
    </row>
    <row r="172" spans="1:16" ht="150" x14ac:dyDescent="0.3">
      <c r="A172" s="881" t="s">
        <v>317</v>
      </c>
      <c r="B172" s="892"/>
      <c r="C172" s="879"/>
      <c r="D172" s="618" t="s">
        <v>507</v>
      </c>
      <c r="E172" s="705">
        <v>0.33333333333333331</v>
      </c>
      <c r="F172" s="655">
        <v>488.41666666666663</v>
      </c>
      <c r="G172" s="655">
        <f t="shared" si="55"/>
        <v>162.80555555555554</v>
      </c>
      <c r="H172" s="778">
        <f t="shared" si="57"/>
        <v>1.3333333333333333</v>
      </c>
      <c r="I172" s="230">
        <f>IF(H172=0, (5/60), (5/60)*'Data '!D25)</f>
        <v>139</v>
      </c>
      <c r="J172" s="655">
        <f>I172*H172</f>
        <v>185.33333333333331</v>
      </c>
      <c r="K172" s="656">
        <f t="shared" si="44"/>
        <v>22.527777777777771</v>
      </c>
      <c r="L172" s="657"/>
      <c r="M172" s="685" t="s">
        <v>1093</v>
      </c>
      <c r="N172" s="659" t="s">
        <v>677</v>
      </c>
      <c r="O172" s="624" t="s">
        <v>1173</v>
      </c>
      <c r="P172" s="906"/>
    </row>
    <row r="173" spans="1:16" ht="150" x14ac:dyDescent="0.3">
      <c r="A173" s="881" t="s">
        <v>317</v>
      </c>
      <c r="B173" s="892"/>
      <c r="C173" s="879"/>
      <c r="D173" s="618" t="s">
        <v>508</v>
      </c>
      <c r="E173" s="705">
        <v>0.33333333333333331</v>
      </c>
      <c r="F173" s="655">
        <v>542.80555555555554</v>
      </c>
      <c r="G173" s="655">
        <f t="shared" si="55"/>
        <v>180.93518518518516</v>
      </c>
      <c r="H173" s="778">
        <f t="shared" si="57"/>
        <v>1.3333333333333333</v>
      </c>
      <c r="I173" s="230">
        <f>IF(H173=0,(5/60), (5/60)*'Data '!D24)</f>
        <v>335.66666666666663</v>
      </c>
      <c r="J173" s="655">
        <f>I173*H173</f>
        <v>447.55555555555549</v>
      </c>
      <c r="K173" s="656">
        <f t="shared" si="44"/>
        <v>266.62037037037032</v>
      </c>
      <c r="L173" s="657"/>
      <c r="M173" s="685" t="s">
        <v>1046</v>
      </c>
      <c r="N173" s="659" t="s">
        <v>677</v>
      </c>
      <c r="O173" s="624" t="s">
        <v>1174</v>
      </c>
      <c r="P173" s="906"/>
    </row>
    <row r="174" spans="1:16" ht="162.5" x14ac:dyDescent="0.3">
      <c r="A174" s="881" t="s">
        <v>317</v>
      </c>
      <c r="B174" s="892"/>
      <c r="C174" s="879"/>
      <c r="D174" s="618" t="s">
        <v>509</v>
      </c>
      <c r="E174" s="705">
        <v>0.33333333333333331</v>
      </c>
      <c r="F174" s="655">
        <v>531.33333333333337</v>
      </c>
      <c r="G174" s="655">
        <f t="shared" si="55"/>
        <v>177.11111111111111</v>
      </c>
      <c r="H174" s="778">
        <f>Num_Sites_Reactors_Construction/3</f>
        <v>1.3333333333333333</v>
      </c>
      <c r="I174" s="230">
        <f>IF(H174=0, (60/60), (60/60)* SUM('Data '!D26:D27))</f>
        <v>180</v>
      </c>
      <c r="J174" s="655">
        <f>I174*H174</f>
        <v>240</v>
      </c>
      <c r="K174" s="656">
        <f t="shared" si="44"/>
        <v>62.888888888888886</v>
      </c>
      <c r="L174" s="657"/>
      <c r="M174" s="685" t="s">
        <v>1047</v>
      </c>
      <c r="N174" s="659" t="s">
        <v>677</v>
      </c>
      <c r="O174" s="624" t="s">
        <v>1213</v>
      </c>
      <c r="P174" s="906"/>
    </row>
    <row r="175" spans="1:16" ht="137.5" x14ac:dyDescent="0.3">
      <c r="A175" s="881" t="s">
        <v>317</v>
      </c>
      <c r="B175" s="892"/>
      <c r="C175" s="879"/>
      <c r="D175" s="618" t="s">
        <v>848</v>
      </c>
      <c r="E175" s="705">
        <v>0.33333333333333331</v>
      </c>
      <c r="F175" s="655">
        <v>40.166666666666664</v>
      </c>
      <c r="G175" s="655">
        <f t="shared" si="55"/>
        <v>13.388888888888888</v>
      </c>
      <c r="H175" s="778">
        <f>Num_Sites_Reactors_Construction/3</f>
        <v>1.3333333333333333</v>
      </c>
      <c r="I175" s="230">
        <f>IF(H175=0,(5/60), (5/60)* 'Data '!D28)</f>
        <v>11</v>
      </c>
      <c r="J175" s="655">
        <f>I175*H175</f>
        <v>14.666666666666666</v>
      </c>
      <c r="K175" s="656">
        <f t="shared" si="44"/>
        <v>1.2777777777777786</v>
      </c>
      <c r="L175" s="657"/>
      <c r="M175" s="685" t="s">
        <v>1048</v>
      </c>
      <c r="N175" s="659" t="s">
        <v>677</v>
      </c>
      <c r="O175" s="624" t="s">
        <v>1175</v>
      </c>
      <c r="P175" s="906"/>
    </row>
    <row r="176" spans="1:16" ht="50" x14ac:dyDescent="0.3">
      <c r="A176" s="881" t="s">
        <v>317</v>
      </c>
      <c r="B176" s="892"/>
      <c r="C176" s="879"/>
      <c r="D176" s="618" t="s">
        <v>510</v>
      </c>
      <c r="E176" s="705">
        <v>0</v>
      </c>
      <c r="F176" s="655">
        <v>40</v>
      </c>
      <c r="G176" s="655">
        <f t="shared" si="55"/>
        <v>0</v>
      </c>
      <c r="H176" s="778">
        <v>0</v>
      </c>
      <c r="I176" s="230">
        <v>40</v>
      </c>
      <c r="J176" s="655">
        <f t="shared" ref="J176:J177" si="58">H176*I176</f>
        <v>0</v>
      </c>
      <c r="K176" s="656">
        <f t="shared" si="44"/>
        <v>0</v>
      </c>
      <c r="L176" s="657"/>
      <c r="M176" s="658"/>
      <c r="N176" s="659"/>
      <c r="O176" s="659"/>
      <c r="P176" s="906"/>
    </row>
    <row r="177" spans="1:16" ht="19.5" customHeight="1" x14ac:dyDescent="0.3">
      <c r="A177" s="881" t="s">
        <v>317</v>
      </c>
      <c r="B177" s="892"/>
      <c r="C177" s="879"/>
      <c r="D177" s="618" t="s">
        <v>511</v>
      </c>
      <c r="E177" s="705">
        <v>0.33333333333333331</v>
      </c>
      <c r="F177" s="655">
        <v>40</v>
      </c>
      <c r="G177" s="655">
        <f t="shared" si="55"/>
        <v>13.333333333333332</v>
      </c>
      <c r="H177" s="778">
        <f>Num_Sites_Reactors_Construction/3</f>
        <v>1.3333333333333333</v>
      </c>
      <c r="I177" s="230">
        <v>40</v>
      </c>
      <c r="J177" s="655">
        <f t="shared" si="58"/>
        <v>53.333333333333329</v>
      </c>
      <c r="K177" s="656">
        <f t="shared" si="44"/>
        <v>40</v>
      </c>
      <c r="L177" s="657"/>
      <c r="M177" s="658"/>
      <c r="N177" s="659"/>
      <c r="O177" s="659"/>
      <c r="P177" s="906"/>
    </row>
    <row r="178" spans="1:16" ht="175" x14ac:dyDescent="0.3">
      <c r="A178" s="881" t="s">
        <v>317</v>
      </c>
      <c r="B178" s="892"/>
      <c r="C178" s="879"/>
      <c r="D178" s="618" t="s">
        <v>937</v>
      </c>
      <c r="E178" s="705">
        <v>0.33333333333333331</v>
      </c>
      <c r="F178" s="655">
        <v>179.25</v>
      </c>
      <c r="G178" s="655">
        <f t="shared" si="55"/>
        <v>59.75</v>
      </c>
      <c r="H178" s="778">
        <f>Num_Sites_Reactors_Construction/3</f>
        <v>1.3333333333333333</v>
      </c>
      <c r="I178" s="230">
        <f>IF(H178=0,(45/60),('Data '!D43)*(45/60))</f>
        <v>69</v>
      </c>
      <c r="J178" s="655">
        <f>I178*H178</f>
        <v>92</v>
      </c>
      <c r="K178" s="656">
        <f t="shared" si="44"/>
        <v>32.25</v>
      </c>
      <c r="L178" s="657"/>
      <c r="M178" s="685" t="s">
        <v>1049</v>
      </c>
      <c r="N178" s="659" t="s">
        <v>677</v>
      </c>
      <c r="O178" s="624" t="s">
        <v>1176</v>
      </c>
      <c r="P178" s="906"/>
    </row>
    <row r="179" spans="1:16" ht="37.5" x14ac:dyDescent="0.3">
      <c r="A179" s="881" t="s">
        <v>317</v>
      </c>
      <c r="B179" s="892"/>
      <c r="C179" s="879"/>
      <c r="D179" s="618" t="s">
        <v>512</v>
      </c>
      <c r="E179" s="705">
        <v>0</v>
      </c>
      <c r="F179" s="655">
        <v>80</v>
      </c>
      <c r="G179" s="655">
        <f t="shared" si="55"/>
        <v>0</v>
      </c>
      <c r="H179" s="778">
        <v>0</v>
      </c>
      <c r="I179" s="230">
        <v>80</v>
      </c>
      <c r="J179" s="655">
        <f t="shared" ref="J179:J181" si="59">H179*I179</f>
        <v>0</v>
      </c>
      <c r="K179" s="656">
        <f t="shared" si="44"/>
        <v>0</v>
      </c>
      <c r="L179" s="657"/>
      <c r="M179" s="658"/>
      <c r="N179" s="659"/>
      <c r="O179" s="659"/>
      <c r="P179" s="906"/>
    </row>
    <row r="180" spans="1:16" ht="105" customHeight="1" x14ac:dyDescent="0.3">
      <c r="A180" s="881" t="s">
        <v>317</v>
      </c>
      <c r="B180" s="892"/>
      <c r="C180" s="879"/>
      <c r="D180" s="618" t="s">
        <v>513</v>
      </c>
      <c r="E180" s="705">
        <v>0.33333333333333331</v>
      </c>
      <c r="F180" s="655">
        <v>40</v>
      </c>
      <c r="G180" s="655">
        <f t="shared" si="55"/>
        <v>13.333333333333332</v>
      </c>
      <c r="H180" s="778">
        <v>0</v>
      </c>
      <c r="I180" s="230">
        <v>40</v>
      </c>
      <c r="J180" s="655">
        <f t="shared" si="59"/>
        <v>0</v>
      </c>
      <c r="K180" s="656">
        <f t="shared" si="44"/>
        <v>-13.333333333333332</v>
      </c>
      <c r="L180" s="657"/>
      <c r="M180" s="658"/>
      <c r="N180" s="659"/>
      <c r="O180" s="625" t="s">
        <v>1180</v>
      </c>
      <c r="P180" s="908"/>
    </row>
    <row r="181" spans="1:16" ht="162.5" x14ac:dyDescent="0.3">
      <c r="A181" s="881" t="s">
        <v>317</v>
      </c>
      <c r="B181" s="893"/>
      <c r="C181" s="879"/>
      <c r="D181" s="618" t="s">
        <v>514</v>
      </c>
      <c r="E181" s="705">
        <v>0.33333333333333331</v>
      </c>
      <c r="F181" s="655">
        <v>8043.333333333333</v>
      </c>
      <c r="G181" s="655">
        <f t="shared" si="55"/>
        <v>2681.1111111111109</v>
      </c>
      <c r="H181" s="778">
        <f>Num_Sites_Reactors_Construction/3</f>
        <v>1.3333333333333333</v>
      </c>
      <c r="I181" s="230">
        <f>IF(H181=0,(60/60),('Data '!D47)*(60/60))</f>
        <v>3100</v>
      </c>
      <c r="J181" s="655">
        <f t="shared" si="59"/>
        <v>4133.333333333333</v>
      </c>
      <c r="K181" s="656">
        <f t="shared" si="44"/>
        <v>1452.2222222222222</v>
      </c>
      <c r="L181" s="657"/>
      <c r="M181" s="685" t="s">
        <v>1050</v>
      </c>
      <c r="N181" s="659" t="s">
        <v>678</v>
      </c>
      <c r="O181" s="624" t="s">
        <v>1177</v>
      </c>
      <c r="P181" s="906"/>
    </row>
    <row r="182" spans="1:16" x14ac:dyDescent="0.3">
      <c r="A182" s="881" t="s">
        <v>317</v>
      </c>
      <c r="B182" s="892"/>
      <c r="C182" s="879"/>
      <c r="D182" s="618" t="s">
        <v>515</v>
      </c>
      <c r="E182" s="705">
        <v>0.33333333333333331</v>
      </c>
      <c r="F182" s="655">
        <v>80</v>
      </c>
      <c r="G182" s="655">
        <f t="shared" si="55"/>
        <v>26.666666666666664</v>
      </c>
      <c r="H182" s="778">
        <f>Num_Sites_Reactors_Construction/3</f>
        <v>1.3333333333333333</v>
      </c>
      <c r="I182" s="230">
        <v>80</v>
      </c>
      <c r="J182" s="655">
        <f t="shared" ref="J182:J186" si="60">H182*I182</f>
        <v>106.66666666666666</v>
      </c>
      <c r="K182" s="656">
        <f t="shared" si="44"/>
        <v>80</v>
      </c>
      <c r="L182" s="657"/>
      <c r="M182" s="658"/>
      <c r="N182" s="659"/>
      <c r="O182" s="659"/>
      <c r="P182" s="906"/>
    </row>
    <row r="183" spans="1:16" x14ac:dyDescent="0.3">
      <c r="A183" s="881" t="s">
        <v>317</v>
      </c>
      <c r="B183" s="892"/>
      <c r="C183" s="879"/>
      <c r="D183" s="618" t="s">
        <v>516</v>
      </c>
      <c r="E183" s="705">
        <v>0.33333333333333331</v>
      </c>
      <c r="F183" s="655">
        <v>40</v>
      </c>
      <c r="G183" s="655">
        <f t="shared" si="55"/>
        <v>13.333333333333332</v>
      </c>
      <c r="H183" s="778">
        <f>Num_Sites_Reactors_Construction/3</f>
        <v>1.3333333333333333</v>
      </c>
      <c r="I183" s="230">
        <v>40</v>
      </c>
      <c r="J183" s="655">
        <f t="shared" si="60"/>
        <v>53.333333333333329</v>
      </c>
      <c r="K183" s="656">
        <f t="shared" si="44"/>
        <v>40</v>
      </c>
      <c r="L183" s="657"/>
      <c r="M183" s="658"/>
      <c r="N183" s="659"/>
      <c r="O183" s="659"/>
      <c r="P183" s="906"/>
    </row>
    <row r="184" spans="1:16" ht="25" x14ac:dyDescent="0.3">
      <c r="A184" s="881" t="s">
        <v>317</v>
      </c>
      <c r="B184" s="892"/>
      <c r="C184" s="879"/>
      <c r="D184" s="618" t="s">
        <v>517</v>
      </c>
      <c r="E184" s="705">
        <v>0.33333333333333331</v>
      </c>
      <c r="F184" s="655">
        <v>20</v>
      </c>
      <c r="G184" s="655">
        <f t="shared" si="55"/>
        <v>6.6666666666666661</v>
      </c>
      <c r="H184" s="778">
        <f>Num_Sites_Reactors_Construction/3</f>
        <v>1.3333333333333333</v>
      </c>
      <c r="I184" s="230">
        <v>20</v>
      </c>
      <c r="J184" s="655">
        <f t="shared" si="60"/>
        <v>26.666666666666664</v>
      </c>
      <c r="K184" s="656">
        <f t="shared" si="44"/>
        <v>20</v>
      </c>
      <c r="L184" s="657"/>
      <c r="M184" s="658"/>
      <c r="N184" s="659"/>
      <c r="O184" s="659"/>
      <c r="P184" s="906"/>
    </row>
    <row r="185" spans="1:16" ht="37.5" x14ac:dyDescent="0.3">
      <c r="A185" s="881" t="s">
        <v>317</v>
      </c>
      <c r="B185" s="903"/>
      <c r="C185" s="879"/>
      <c r="D185" s="512" t="s">
        <v>518</v>
      </c>
      <c r="E185" s="652" t="s">
        <v>747</v>
      </c>
      <c r="F185" s="652"/>
      <c r="G185" s="652"/>
      <c r="H185" s="652" t="s">
        <v>747</v>
      </c>
      <c r="I185" s="652"/>
      <c r="J185" s="652"/>
      <c r="K185" s="656">
        <f t="shared" si="44"/>
        <v>0</v>
      </c>
      <c r="L185" s="657"/>
      <c r="M185" s="658"/>
      <c r="N185" s="659"/>
      <c r="O185" s="659"/>
      <c r="P185" s="906"/>
    </row>
    <row r="186" spans="1:16" ht="25" x14ac:dyDescent="0.3">
      <c r="A186" s="881" t="s">
        <v>317</v>
      </c>
      <c r="B186" s="892"/>
      <c r="C186" s="879"/>
      <c r="D186" s="618" t="s">
        <v>1171</v>
      </c>
      <c r="E186" s="705">
        <v>0.33333333333333331</v>
      </c>
      <c r="F186" s="655">
        <v>100</v>
      </c>
      <c r="G186" s="655">
        <f t="shared" ref="G186:G219" si="61">E186*F186</f>
        <v>33.333333333333329</v>
      </c>
      <c r="H186" s="778">
        <f>Num_Sites_Reactors_Construction/3</f>
        <v>1.3333333333333333</v>
      </c>
      <c r="I186" s="230">
        <v>100</v>
      </c>
      <c r="J186" s="655">
        <f t="shared" si="60"/>
        <v>133.33333333333331</v>
      </c>
      <c r="K186" s="656">
        <f t="shared" si="44"/>
        <v>99.999999999999986</v>
      </c>
      <c r="L186" s="657"/>
      <c r="M186" s="658"/>
      <c r="N186" s="659"/>
      <c r="O186" s="659"/>
      <c r="P186" s="906"/>
    </row>
    <row r="187" spans="1:16" ht="50" x14ac:dyDescent="0.3">
      <c r="A187" s="881" t="s">
        <v>375</v>
      </c>
      <c r="B187" s="892"/>
      <c r="C187" s="879"/>
      <c r="D187" s="618" t="s">
        <v>874</v>
      </c>
      <c r="E187" s="250" t="s">
        <v>728</v>
      </c>
      <c r="F187" s="652"/>
      <c r="G187" s="653"/>
      <c r="H187" s="250" t="s">
        <v>728</v>
      </c>
      <c r="I187" s="652"/>
      <c r="J187" s="653"/>
      <c r="K187" s="656">
        <f t="shared" si="44"/>
        <v>0</v>
      </c>
      <c r="L187" s="657"/>
      <c r="M187" s="658"/>
      <c r="N187" s="659"/>
      <c r="O187" s="659"/>
      <c r="P187" s="906"/>
    </row>
    <row r="188" spans="1:16" ht="37.5" x14ac:dyDescent="0.3">
      <c r="A188" s="881" t="s">
        <v>375</v>
      </c>
      <c r="B188" s="892"/>
      <c r="C188" s="879"/>
      <c r="D188" s="618" t="s">
        <v>519</v>
      </c>
      <c r="E188" s="250" t="s">
        <v>701</v>
      </c>
      <c r="F188" s="652"/>
      <c r="G188" s="653"/>
      <c r="H188" s="250" t="s">
        <v>701</v>
      </c>
      <c r="I188" s="652"/>
      <c r="J188" s="653"/>
      <c r="K188" s="656">
        <f t="shared" si="44"/>
        <v>0</v>
      </c>
      <c r="L188" s="657"/>
      <c r="M188" s="658"/>
      <c r="N188" s="659"/>
      <c r="O188" s="659"/>
      <c r="P188" s="906"/>
    </row>
    <row r="189" spans="1:16" ht="25" x14ac:dyDescent="0.3">
      <c r="A189" s="881" t="s">
        <v>375</v>
      </c>
      <c r="B189" s="892"/>
      <c r="C189" s="879"/>
      <c r="D189" s="618" t="s">
        <v>520</v>
      </c>
      <c r="E189" s="694">
        <v>24</v>
      </c>
      <c r="F189" s="655">
        <v>80</v>
      </c>
      <c r="G189" s="655">
        <f t="shared" si="61"/>
        <v>1920</v>
      </c>
      <c r="H189" s="694">
        <f t="shared" ref="H189" si="62">Num_FFD_Prgms_Full</f>
        <v>24</v>
      </c>
      <c r="I189" s="230">
        <v>80</v>
      </c>
      <c r="J189" s="655">
        <f t="shared" ref="J189" si="63">H189*I189</f>
        <v>1920</v>
      </c>
      <c r="K189" s="656">
        <f t="shared" si="44"/>
        <v>0</v>
      </c>
      <c r="L189" s="657"/>
      <c r="M189" s="658"/>
      <c r="N189" s="659"/>
      <c r="O189" s="659"/>
      <c r="P189" s="906"/>
    </row>
    <row r="190" spans="1:16" ht="79.5" customHeight="1" x14ac:dyDescent="0.3">
      <c r="A190" s="881" t="s">
        <v>375</v>
      </c>
      <c r="B190" s="895" t="s">
        <v>430</v>
      </c>
      <c r="C190" s="879"/>
      <c r="D190" s="618" t="s">
        <v>896</v>
      </c>
      <c r="E190" s="694">
        <v>24</v>
      </c>
      <c r="F190" s="655">
        <v>80</v>
      </c>
      <c r="G190" s="655">
        <f t="shared" si="61"/>
        <v>1920</v>
      </c>
      <c r="H190" s="250" t="s">
        <v>948</v>
      </c>
      <c r="I190" s="652"/>
      <c r="J190" s="653"/>
      <c r="K190" s="656">
        <f t="shared" si="44"/>
        <v>-1920</v>
      </c>
      <c r="L190" s="657"/>
      <c r="M190" s="658"/>
      <c r="N190" s="659"/>
      <c r="O190" s="625" t="s">
        <v>1178</v>
      </c>
      <c r="P190" s="906"/>
    </row>
    <row r="191" spans="1:16" ht="25" x14ac:dyDescent="0.3">
      <c r="A191" s="881"/>
      <c r="B191" s="892"/>
      <c r="C191" s="879"/>
      <c r="D191" s="618" t="s">
        <v>721</v>
      </c>
      <c r="E191" s="250" t="s">
        <v>752</v>
      </c>
      <c r="F191" s="652"/>
      <c r="G191" s="653"/>
      <c r="H191" s="250" t="s">
        <v>752</v>
      </c>
      <c r="I191" s="652"/>
      <c r="J191" s="653"/>
      <c r="K191" s="656">
        <f t="shared" si="44"/>
        <v>0</v>
      </c>
      <c r="L191" s="657"/>
      <c r="M191" s="658"/>
      <c r="N191" s="659"/>
      <c r="O191" s="659"/>
      <c r="P191" s="906"/>
    </row>
    <row r="192" spans="1:16" ht="25" x14ac:dyDescent="0.3">
      <c r="A192" s="881"/>
      <c r="B192" s="892"/>
      <c r="C192" s="879"/>
      <c r="D192" s="618" t="s">
        <v>722</v>
      </c>
      <c r="E192" s="250" t="s">
        <v>753</v>
      </c>
      <c r="F192" s="652"/>
      <c r="G192" s="653"/>
      <c r="H192" s="250" t="s">
        <v>753</v>
      </c>
      <c r="I192" s="652"/>
      <c r="J192" s="653"/>
      <c r="K192" s="656">
        <f t="shared" si="44"/>
        <v>0</v>
      </c>
      <c r="L192" s="657"/>
      <c r="M192" s="658"/>
      <c r="N192" s="659"/>
      <c r="O192" s="659"/>
      <c r="P192" s="906"/>
    </row>
    <row r="193" spans="1:16" ht="25" x14ac:dyDescent="0.3">
      <c r="A193" s="881"/>
      <c r="B193" s="892"/>
      <c r="C193" s="879"/>
      <c r="D193" s="618" t="s">
        <v>897</v>
      </c>
      <c r="E193" s="250" t="s">
        <v>701</v>
      </c>
      <c r="F193" s="652"/>
      <c r="G193" s="653"/>
      <c r="H193" s="250" t="s">
        <v>701</v>
      </c>
      <c r="I193" s="652"/>
      <c r="J193" s="653"/>
      <c r="K193" s="656">
        <f t="shared" si="44"/>
        <v>0</v>
      </c>
      <c r="L193" s="657"/>
      <c r="M193" s="658"/>
      <c r="N193" s="659"/>
      <c r="O193" s="659"/>
      <c r="P193" s="906"/>
    </row>
    <row r="194" spans="1:16" ht="25" x14ac:dyDescent="0.3">
      <c r="A194" s="881" t="s">
        <v>375</v>
      </c>
      <c r="B194" s="892"/>
      <c r="C194" s="879"/>
      <c r="D194" s="618" t="s">
        <v>521</v>
      </c>
      <c r="E194" s="694">
        <v>24</v>
      </c>
      <c r="F194" s="655">
        <v>8</v>
      </c>
      <c r="G194" s="655">
        <f t="shared" si="61"/>
        <v>192</v>
      </c>
      <c r="H194" s="694">
        <f t="shared" ref="H194:H195" si="64">Num_FFD_Prgms_Full</f>
        <v>24</v>
      </c>
      <c r="I194" s="230">
        <v>8</v>
      </c>
      <c r="J194" s="655">
        <f t="shared" ref="J194:J195" si="65">H194*I194</f>
        <v>192</v>
      </c>
      <c r="K194" s="656">
        <f t="shared" si="44"/>
        <v>0</v>
      </c>
      <c r="L194" s="657"/>
      <c r="M194" s="658"/>
      <c r="N194" s="659"/>
      <c r="O194" s="659"/>
      <c r="P194" s="906"/>
    </row>
    <row r="195" spans="1:16" ht="25" x14ac:dyDescent="0.3">
      <c r="A195" s="881" t="s">
        <v>375</v>
      </c>
      <c r="B195" s="892"/>
      <c r="C195" s="879"/>
      <c r="D195" s="618" t="s">
        <v>522</v>
      </c>
      <c r="E195" s="694">
        <v>24</v>
      </c>
      <c r="F195" s="655">
        <v>16</v>
      </c>
      <c r="G195" s="655">
        <f t="shared" si="61"/>
        <v>384</v>
      </c>
      <c r="H195" s="694">
        <f t="shared" si="64"/>
        <v>24</v>
      </c>
      <c r="I195" s="230">
        <v>16</v>
      </c>
      <c r="J195" s="655">
        <f t="shared" si="65"/>
        <v>384</v>
      </c>
      <c r="K195" s="656">
        <f t="shared" ref="K195:K223" si="66">J195-G195</f>
        <v>0</v>
      </c>
      <c r="L195" s="657"/>
      <c r="M195" s="658"/>
      <c r="N195" s="659"/>
      <c r="O195" s="659"/>
      <c r="P195" s="906"/>
    </row>
    <row r="196" spans="1:16" ht="50" x14ac:dyDescent="0.3">
      <c r="A196" s="881"/>
      <c r="B196" s="892"/>
      <c r="C196" s="879"/>
      <c r="D196" s="618" t="s">
        <v>723</v>
      </c>
      <c r="E196" s="250" t="s">
        <v>751</v>
      </c>
      <c r="F196" s="652"/>
      <c r="G196" s="653"/>
      <c r="H196" s="250" t="s">
        <v>751</v>
      </c>
      <c r="I196" s="652"/>
      <c r="J196" s="653"/>
      <c r="K196" s="656">
        <f t="shared" si="66"/>
        <v>0</v>
      </c>
      <c r="L196" s="657"/>
      <c r="M196" s="658"/>
      <c r="N196" s="659"/>
      <c r="O196" s="659"/>
      <c r="P196" s="906"/>
    </row>
    <row r="197" spans="1:16" ht="37.5" x14ac:dyDescent="0.3">
      <c r="A197" s="881" t="s">
        <v>375</v>
      </c>
      <c r="B197" s="892"/>
      <c r="C197" s="879"/>
      <c r="D197" s="618" t="s">
        <v>724</v>
      </c>
      <c r="E197" s="694">
        <v>24</v>
      </c>
      <c r="F197" s="655">
        <v>40</v>
      </c>
      <c r="G197" s="655">
        <f t="shared" si="61"/>
        <v>960</v>
      </c>
      <c r="H197" s="694">
        <f t="shared" ref="H197:H199" si="67">Num_FFD_Prgms_Full</f>
        <v>24</v>
      </c>
      <c r="I197" s="61">
        <v>40</v>
      </c>
      <c r="J197" s="655">
        <f t="shared" ref="J197:J222" si="68">H197*I197</f>
        <v>960</v>
      </c>
      <c r="K197" s="656">
        <f t="shared" si="66"/>
        <v>0</v>
      </c>
      <c r="L197" s="657"/>
      <c r="M197" s="658"/>
      <c r="N197" s="659"/>
      <c r="O197" s="659"/>
      <c r="P197" s="906"/>
    </row>
    <row r="198" spans="1:16" ht="25" x14ac:dyDescent="0.3">
      <c r="A198" s="881" t="s">
        <v>375</v>
      </c>
      <c r="B198" s="892"/>
      <c r="C198" s="879"/>
      <c r="D198" s="618" t="s">
        <v>523</v>
      </c>
      <c r="E198" s="694">
        <v>24</v>
      </c>
      <c r="F198" s="655">
        <v>20</v>
      </c>
      <c r="G198" s="655">
        <f t="shared" si="61"/>
        <v>480</v>
      </c>
      <c r="H198" s="694">
        <f t="shared" si="67"/>
        <v>24</v>
      </c>
      <c r="I198" s="61">
        <v>20</v>
      </c>
      <c r="J198" s="655">
        <f t="shared" si="68"/>
        <v>480</v>
      </c>
      <c r="K198" s="656">
        <f t="shared" si="66"/>
        <v>0</v>
      </c>
      <c r="L198" s="657"/>
      <c r="M198" s="658"/>
      <c r="N198" s="659"/>
      <c r="O198" s="659"/>
      <c r="P198" s="906"/>
    </row>
    <row r="199" spans="1:16" ht="25" x14ac:dyDescent="0.3">
      <c r="A199" s="881" t="s">
        <v>375</v>
      </c>
      <c r="B199" s="892"/>
      <c r="C199" s="879"/>
      <c r="D199" s="618" t="s">
        <v>524</v>
      </c>
      <c r="E199" s="694">
        <v>24</v>
      </c>
      <c r="F199" s="691">
        <v>240</v>
      </c>
      <c r="G199" s="691">
        <f t="shared" si="61"/>
        <v>5760</v>
      </c>
      <c r="H199" s="694">
        <f t="shared" si="67"/>
        <v>24</v>
      </c>
      <c r="I199" s="61">
        <v>240</v>
      </c>
      <c r="J199" s="655">
        <f t="shared" si="68"/>
        <v>5760</v>
      </c>
      <c r="K199" s="697">
        <f t="shared" si="66"/>
        <v>0</v>
      </c>
      <c r="L199" s="657"/>
      <c r="M199" s="658"/>
      <c r="N199" s="659"/>
      <c r="O199" s="659"/>
      <c r="P199" s="906"/>
    </row>
    <row r="200" spans="1:16" x14ac:dyDescent="0.3">
      <c r="A200" s="881" t="s">
        <v>309</v>
      </c>
      <c r="B200" s="893"/>
      <c r="C200" s="879"/>
      <c r="D200" s="11" t="s">
        <v>525</v>
      </c>
      <c r="E200" s="699">
        <v>3</v>
      </c>
      <c r="F200" s="691">
        <v>120</v>
      </c>
      <c r="G200" s="691">
        <f t="shared" si="61"/>
        <v>360</v>
      </c>
      <c r="H200" s="699">
        <f>Num_LTFs</f>
        <v>0</v>
      </c>
      <c r="I200" s="61">
        <v>120</v>
      </c>
      <c r="J200" s="655">
        <f t="shared" si="68"/>
        <v>0</v>
      </c>
      <c r="K200" s="697">
        <f t="shared" si="66"/>
        <v>-360</v>
      </c>
      <c r="L200" s="657"/>
      <c r="M200" s="658"/>
      <c r="N200" s="659"/>
      <c r="O200" s="659"/>
      <c r="P200" s="906"/>
    </row>
    <row r="201" spans="1:16" ht="25" x14ac:dyDescent="0.3">
      <c r="A201" s="881" t="s">
        <v>375</v>
      </c>
      <c r="B201" s="893"/>
      <c r="C201" s="879"/>
      <c r="D201" s="11" t="s">
        <v>526</v>
      </c>
      <c r="E201" s="694">
        <v>24</v>
      </c>
      <c r="F201" s="691">
        <v>40</v>
      </c>
      <c r="G201" s="691">
        <f t="shared" si="61"/>
        <v>960</v>
      </c>
      <c r="H201" s="694">
        <f t="shared" ref="H201" si="69">Num_FFD_Prgms_Full</f>
        <v>24</v>
      </c>
      <c r="I201" s="61">
        <v>40</v>
      </c>
      <c r="J201" s="655">
        <f t="shared" si="68"/>
        <v>960</v>
      </c>
      <c r="K201" s="697">
        <f t="shared" si="66"/>
        <v>0</v>
      </c>
      <c r="L201" s="657"/>
      <c r="M201" s="658"/>
      <c r="N201" s="659"/>
      <c r="O201" s="659"/>
      <c r="P201" s="906"/>
    </row>
    <row r="202" spans="1:16" ht="37.5" x14ac:dyDescent="0.3">
      <c r="A202" s="881" t="s">
        <v>309</v>
      </c>
      <c r="B202" s="893"/>
      <c r="C202" s="879"/>
      <c r="D202" s="11" t="s">
        <v>527</v>
      </c>
      <c r="E202" s="699">
        <v>3</v>
      </c>
      <c r="F202" s="691">
        <v>240</v>
      </c>
      <c r="G202" s="691">
        <f t="shared" si="61"/>
        <v>720</v>
      </c>
      <c r="H202" s="699">
        <f>Num_LTFs</f>
        <v>0</v>
      </c>
      <c r="I202" s="61">
        <v>240</v>
      </c>
      <c r="J202" s="655">
        <f t="shared" si="68"/>
        <v>0</v>
      </c>
      <c r="K202" s="697">
        <f t="shared" si="66"/>
        <v>-720</v>
      </c>
      <c r="L202" s="657"/>
      <c r="M202" s="658"/>
      <c r="N202" s="659"/>
      <c r="O202" s="659"/>
      <c r="P202" s="906"/>
    </row>
    <row r="203" spans="1:16" x14ac:dyDescent="0.3">
      <c r="A203" s="881" t="s">
        <v>309</v>
      </c>
      <c r="B203" s="893"/>
      <c r="C203" s="879"/>
      <c r="D203" s="11" t="s">
        <v>898</v>
      </c>
      <c r="E203" s="699">
        <v>3</v>
      </c>
      <c r="F203" s="691">
        <v>240</v>
      </c>
      <c r="G203" s="691">
        <f t="shared" si="61"/>
        <v>720</v>
      </c>
      <c r="H203" s="699">
        <f>Num_LTFs</f>
        <v>0</v>
      </c>
      <c r="I203" s="61">
        <v>240</v>
      </c>
      <c r="J203" s="655">
        <f t="shared" si="68"/>
        <v>0</v>
      </c>
      <c r="K203" s="656">
        <f t="shared" si="66"/>
        <v>-720</v>
      </c>
      <c r="L203" s="657"/>
      <c r="M203" s="658"/>
      <c r="N203" s="659"/>
      <c r="O203" s="659"/>
      <c r="P203" s="906"/>
    </row>
    <row r="204" spans="1:16" x14ac:dyDescent="0.3">
      <c r="A204" s="881" t="s">
        <v>309</v>
      </c>
      <c r="B204" s="893"/>
      <c r="C204" s="879"/>
      <c r="D204" s="11" t="s">
        <v>895</v>
      </c>
      <c r="E204" s="699">
        <v>3</v>
      </c>
      <c r="F204" s="691">
        <v>80</v>
      </c>
      <c r="G204" s="691">
        <f t="shared" si="61"/>
        <v>240</v>
      </c>
      <c r="H204" s="699">
        <f>Num_LTFs</f>
        <v>0</v>
      </c>
      <c r="I204" s="61">
        <v>80</v>
      </c>
      <c r="J204" s="655">
        <f t="shared" si="68"/>
        <v>0</v>
      </c>
      <c r="K204" s="656">
        <f t="shared" si="66"/>
        <v>-240</v>
      </c>
      <c r="L204" s="657"/>
      <c r="M204" s="658"/>
      <c r="N204" s="659"/>
      <c r="O204" s="659"/>
      <c r="P204" s="906"/>
    </row>
    <row r="205" spans="1:16" ht="75" x14ac:dyDescent="0.3">
      <c r="A205" s="881" t="s">
        <v>375</v>
      </c>
      <c r="B205" s="892"/>
      <c r="C205" s="879"/>
      <c r="D205" s="11" t="s">
        <v>528</v>
      </c>
      <c r="E205" s="694">
        <v>6</v>
      </c>
      <c r="F205" s="691">
        <v>40</v>
      </c>
      <c r="G205" s="691">
        <f t="shared" si="61"/>
        <v>240</v>
      </c>
      <c r="H205" s="694">
        <f>Num_30dayRpts</f>
        <v>4</v>
      </c>
      <c r="I205" s="61">
        <v>40</v>
      </c>
      <c r="J205" s="655">
        <f t="shared" si="68"/>
        <v>160</v>
      </c>
      <c r="K205" s="656">
        <f t="shared" si="66"/>
        <v>-80</v>
      </c>
      <c r="L205" s="657"/>
      <c r="M205" s="685" t="s">
        <v>1051</v>
      </c>
      <c r="N205" s="659" t="s">
        <v>679</v>
      </c>
      <c r="O205" s="624" t="s">
        <v>1179</v>
      </c>
      <c r="P205" s="906"/>
    </row>
    <row r="206" spans="1:16" ht="25" x14ac:dyDescent="0.3">
      <c r="A206" s="881"/>
      <c r="B206" s="892"/>
      <c r="C206" s="879"/>
      <c r="D206" s="11" t="s">
        <v>1133</v>
      </c>
      <c r="E206" s="779"/>
      <c r="F206" s="691"/>
      <c r="G206" s="691"/>
      <c r="H206" s="731" t="s">
        <v>1170</v>
      </c>
      <c r="I206" s="730"/>
      <c r="J206" s="780"/>
      <c r="K206" s="697"/>
      <c r="L206" s="781"/>
      <c r="M206" s="782"/>
      <c r="N206" s="783"/>
      <c r="O206" s="784"/>
      <c r="P206" s="906"/>
    </row>
    <row r="207" spans="1:16" ht="25" x14ac:dyDescent="0.3">
      <c r="A207" s="881" t="s">
        <v>309</v>
      </c>
      <c r="B207" s="893"/>
      <c r="C207" s="879"/>
      <c r="D207" s="11" t="s">
        <v>529</v>
      </c>
      <c r="E207" s="785">
        <v>3</v>
      </c>
      <c r="F207" s="691">
        <v>40</v>
      </c>
      <c r="G207" s="691">
        <f t="shared" si="61"/>
        <v>120</v>
      </c>
      <c r="H207" s="785">
        <f>Num_LTFs</f>
        <v>0</v>
      </c>
      <c r="I207" s="39">
        <v>40</v>
      </c>
      <c r="J207" s="691">
        <f t="shared" si="68"/>
        <v>0</v>
      </c>
      <c r="K207" s="697">
        <f t="shared" si="66"/>
        <v>-120</v>
      </c>
      <c r="L207" s="781"/>
      <c r="M207" s="786"/>
      <c r="N207" s="783"/>
      <c r="O207" s="783"/>
      <c r="P207" s="906"/>
    </row>
    <row r="208" spans="1:16" ht="37.5" x14ac:dyDescent="0.3">
      <c r="A208" s="881"/>
      <c r="B208" s="892"/>
      <c r="C208" s="879"/>
      <c r="D208" s="11" t="s">
        <v>530</v>
      </c>
      <c r="E208" s="694">
        <v>0</v>
      </c>
      <c r="F208" s="691">
        <v>3</v>
      </c>
      <c r="G208" s="691">
        <f t="shared" si="61"/>
        <v>0</v>
      </c>
      <c r="H208" s="694">
        <v>0</v>
      </c>
      <c r="I208" s="61">
        <v>3</v>
      </c>
      <c r="J208" s="655">
        <f t="shared" si="68"/>
        <v>0</v>
      </c>
      <c r="K208" s="656">
        <f t="shared" si="66"/>
        <v>0</v>
      </c>
      <c r="L208" s="657"/>
      <c r="M208" s="658"/>
      <c r="N208" s="659"/>
      <c r="O208" s="659"/>
      <c r="P208" s="906"/>
    </row>
    <row r="209" spans="1:16" x14ac:dyDescent="0.3">
      <c r="A209" s="881" t="s">
        <v>309</v>
      </c>
      <c r="B209" s="893"/>
      <c r="C209" s="879"/>
      <c r="D209" s="11" t="s">
        <v>531</v>
      </c>
      <c r="E209" s="699">
        <v>3</v>
      </c>
      <c r="F209" s="691">
        <v>120</v>
      </c>
      <c r="G209" s="691">
        <f t="shared" si="61"/>
        <v>360</v>
      </c>
      <c r="H209" s="699">
        <f>Num_LTFs</f>
        <v>0</v>
      </c>
      <c r="I209" s="61">
        <v>120</v>
      </c>
      <c r="J209" s="655">
        <f t="shared" si="68"/>
        <v>0</v>
      </c>
      <c r="K209" s="656">
        <f t="shared" si="66"/>
        <v>-360</v>
      </c>
      <c r="L209" s="657"/>
      <c r="M209" s="658"/>
      <c r="N209" s="659"/>
      <c r="O209" s="659"/>
      <c r="P209" s="906"/>
    </row>
    <row r="210" spans="1:16" ht="37.5" x14ac:dyDescent="0.3">
      <c r="A210" s="881"/>
      <c r="B210" s="892"/>
      <c r="C210" s="879"/>
      <c r="D210" s="11" t="s">
        <v>532</v>
      </c>
      <c r="E210" s="250" t="s">
        <v>725</v>
      </c>
      <c r="F210" s="652"/>
      <c r="G210" s="653"/>
      <c r="H210" s="250" t="s">
        <v>725</v>
      </c>
      <c r="I210" s="652"/>
      <c r="J210" s="653"/>
      <c r="K210" s="656">
        <f t="shared" si="66"/>
        <v>0</v>
      </c>
      <c r="L210" s="657"/>
      <c r="M210" s="658"/>
      <c r="N210" s="659"/>
      <c r="O210" s="659"/>
      <c r="P210" s="906"/>
    </row>
    <row r="211" spans="1:16" ht="30" customHeight="1" x14ac:dyDescent="0.3">
      <c r="A211" s="881" t="s">
        <v>373</v>
      </c>
      <c r="B211" s="893"/>
      <c r="C211" s="879"/>
      <c r="D211" s="11" t="s">
        <v>533</v>
      </c>
      <c r="E211" s="696">
        <v>60</v>
      </c>
      <c r="F211" s="655">
        <v>8</v>
      </c>
      <c r="G211" s="655">
        <f t="shared" si="61"/>
        <v>480</v>
      </c>
      <c r="H211" s="696">
        <f>Num_Sites_Reactors_Operating + SUM('Data '!$C$12,'Data '!$C$13,'Data '!$C$14)</f>
        <v>60</v>
      </c>
      <c r="I211" s="230">
        <v>8</v>
      </c>
      <c r="J211" s="655">
        <f t="shared" si="68"/>
        <v>480</v>
      </c>
      <c r="K211" s="656">
        <f t="shared" si="66"/>
        <v>0</v>
      </c>
      <c r="L211" s="657"/>
      <c r="M211" s="685" t="s">
        <v>1052</v>
      </c>
      <c r="N211" s="659" t="s">
        <v>679</v>
      </c>
      <c r="O211" s="624"/>
      <c r="P211" s="906"/>
    </row>
    <row r="212" spans="1:16" ht="30.75" customHeight="1" x14ac:dyDescent="0.3">
      <c r="A212" s="881" t="s">
        <v>373</v>
      </c>
      <c r="B212" s="893"/>
      <c r="C212" s="879"/>
      <c r="D212" s="11" t="s">
        <v>790</v>
      </c>
      <c r="E212" s="696">
        <v>60</v>
      </c>
      <c r="F212" s="655">
        <v>40</v>
      </c>
      <c r="G212" s="655">
        <f t="shared" si="61"/>
        <v>2400</v>
      </c>
      <c r="H212" s="696">
        <f>Num_Sites_Reactors_Operating + SUM('Data '!$C$12,'Data '!$C$13,'Data '!$C$14)</f>
        <v>60</v>
      </c>
      <c r="I212" s="230">
        <v>40</v>
      </c>
      <c r="J212" s="655">
        <f t="shared" si="68"/>
        <v>2400</v>
      </c>
      <c r="K212" s="656">
        <f t="shared" si="66"/>
        <v>0</v>
      </c>
      <c r="L212" s="657"/>
      <c r="M212" s="685" t="s">
        <v>1094</v>
      </c>
      <c r="N212" s="659" t="s">
        <v>679</v>
      </c>
      <c r="O212" s="659"/>
      <c r="P212" s="906"/>
    </row>
    <row r="213" spans="1:16" ht="32.25" customHeight="1" x14ac:dyDescent="0.3">
      <c r="A213" s="881" t="s">
        <v>373</v>
      </c>
      <c r="B213" s="893"/>
      <c r="C213" s="879"/>
      <c r="D213" s="11" t="s">
        <v>1194</v>
      </c>
      <c r="E213" s="696">
        <v>52</v>
      </c>
      <c r="F213" s="655">
        <v>40</v>
      </c>
      <c r="G213" s="655">
        <f t="shared" si="61"/>
        <v>2080</v>
      </c>
      <c r="H213" s="696">
        <f>Num_Sites_Reactors_Operating</f>
        <v>53</v>
      </c>
      <c r="I213" s="230">
        <v>40</v>
      </c>
      <c r="J213" s="655">
        <f t="shared" si="68"/>
        <v>2120</v>
      </c>
      <c r="K213" s="656">
        <f t="shared" si="66"/>
        <v>40</v>
      </c>
      <c r="L213" s="657"/>
      <c r="M213" s="685" t="s">
        <v>1053</v>
      </c>
      <c r="N213" s="659"/>
      <c r="O213" s="659"/>
      <c r="P213" s="906"/>
    </row>
    <row r="214" spans="1:16" ht="33" customHeight="1" x14ac:dyDescent="0.3">
      <c r="A214" s="881" t="s">
        <v>373</v>
      </c>
      <c r="B214" s="893"/>
      <c r="C214" s="879"/>
      <c r="D214" s="11" t="s">
        <v>918</v>
      </c>
      <c r="E214" s="696">
        <v>60</v>
      </c>
      <c r="F214" s="655">
        <v>16</v>
      </c>
      <c r="G214" s="655">
        <f t="shared" si="61"/>
        <v>960</v>
      </c>
      <c r="H214" s="696">
        <f>Num_Sites_Reactors_Operating + SUM('Data '!$C$12,'Data '!$C$13,'Data '!$C$14)</f>
        <v>60</v>
      </c>
      <c r="I214" s="230">
        <v>16</v>
      </c>
      <c r="J214" s="655">
        <f t="shared" si="68"/>
        <v>960</v>
      </c>
      <c r="K214" s="656">
        <f t="shared" si="66"/>
        <v>0</v>
      </c>
      <c r="L214" s="657"/>
      <c r="M214" s="685" t="s">
        <v>1054</v>
      </c>
      <c r="N214" s="659"/>
      <c r="O214" s="659"/>
      <c r="P214" s="906"/>
    </row>
    <row r="215" spans="1:16" ht="35.25" customHeight="1" x14ac:dyDescent="0.3">
      <c r="A215" s="881" t="s">
        <v>487</v>
      </c>
      <c r="B215" s="893"/>
      <c r="C215" s="879"/>
      <c r="D215" s="11" t="s">
        <v>534</v>
      </c>
      <c r="E215" s="696">
        <v>52</v>
      </c>
      <c r="F215" s="655">
        <v>16</v>
      </c>
      <c r="G215" s="655">
        <f t="shared" si="61"/>
        <v>832</v>
      </c>
      <c r="H215" s="696">
        <f>Num_Sites_Reactors_Operating</f>
        <v>53</v>
      </c>
      <c r="I215" s="230">
        <v>16</v>
      </c>
      <c r="J215" s="655">
        <f t="shared" si="68"/>
        <v>848</v>
      </c>
      <c r="K215" s="656">
        <f t="shared" si="66"/>
        <v>16</v>
      </c>
      <c r="L215" s="657"/>
      <c r="M215" s="685" t="s">
        <v>1055</v>
      </c>
      <c r="N215" s="659"/>
      <c r="O215" s="659"/>
      <c r="P215" s="906"/>
    </row>
    <row r="216" spans="1:16" x14ac:dyDescent="0.3">
      <c r="A216" s="881"/>
      <c r="B216" s="892"/>
      <c r="C216" s="879"/>
      <c r="D216" s="11" t="s">
        <v>535</v>
      </c>
      <c r="E216" s="706">
        <v>1</v>
      </c>
      <c r="F216" s="691">
        <v>1</v>
      </c>
      <c r="G216" s="691">
        <f t="shared" si="61"/>
        <v>1</v>
      </c>
      <c r="H216" s="707">
        <f>Num_Sites_CVs</f>
        <v>1</v>
      </c>
      <c r="I216" s="230">
        <f t="shared" ref="I216" si="70">F216</f>
        <v>1</v>
      </c>
      <c r="J216" s="655">
        <f t="shared" si="68"/>
        <v>1</v>
      </c>
      <c r="K216" s="656">
        <f t="shared" si="66"/>
        <v>0</v>
      </c>
      <c r="L216" s="657"/>
      <c r="M216" s="658"/>
      <c r="N216" s="659"/>
      <c r="O216" s="659"/>
      <c r="P216" s="906"/>
    </row>
    <row r="217" spans="1:16" ht="25" x14ac:dyDescent="0.3">
      <c r="A217" s="881"/>
      <c r="B217" s="892"/>
      <c r="C217" s="879"/>
      <c r="D217" s="11" t="s">
        <v>536</v>
      </c>
      <c r="E217" s="250" t="s">
        <v>750</v>
      </c>
      <c r="F217" s="652"/>
      <c r="G217" s="653"/>
      <c r="H217" s="250" t="s">
        <v>750</v>
      </c>
      <c r="I217" s="652"/>
      <c r="J217" s="653"/>
      <c r="K217" s="656">
        <f t="shared" si="66"/>
        <v>0</v>
      </c>
      <c r="L217" s="657"/>
      <c r="M217" s="658"/>
      <c r="N217" s="659"/>
      <c r="O217" s="659"/>
      <c r="P217" s="906"/>
    </row>
    <row r="218" spans="1:16" ht="86.25" customHeight="1" x14ac:dyDescent="0.3">
      <c r="A218" s="881" t="s">
        <v>373</v>
      </c>
      <c r="B218" s="892"/>
      <c r="C218" s="879"/>
      <c r="D218" s="11" t="s">
        <v>537</v>
      </c>
      <c r="E218" s="703">
        <v>36</v>
      </c>
      <c r="F218" s="691">
        <v>1</v>
      </c>
      <c r="G218" s="691">
        <f t="shared" si="61"/>
        <v>36</v>
      </c>
      <c r="H218" s="703">
        <f>Num_24hrRpts</f>
        <v>30</v>
      </c>
      <c r="I218" s="689">
        <v>1</v>
      </c>
      <c r="J218" s="655">
        <f t="shared" si="68"/>
        <v>30</v>
      </c>
      <c r="K218" s="656">
        <f t="shared" si="66"/>
        <v>-6</v>
      </c>
      <c r="L218" s="657"/>
      <c r="M218" s="685" t="s">
        <v>1095</v>
      </c>
      <c r="N218" s="659" t="s">
        <v>680</v>
      </c>
      <c r="O218" s="624" t="s">
        <v>1056</v>
      </c>
      <c r="P218" s="906"/>
    </row>
    <row r="219" spans="1:16" ht="83.25" customHeight="1" x14ac:dyDescent="0.3">
      <c r="A219" s="881" t="s">
        <v>373</v>
      </c>
      <c r="B219" s="892"/>
      <c r="C219" s="879"/>
      <c r="D219" s="11" t="s">
        <v>538</v>
      </c>
      <c r="E219" s="703">
        <v>6</v>
      </c>
      <c r="F219" s="691">
        <v>40</v>
      </c>
      <c r="G219" s="691">
        <f t="shared" si="61"/>
        <v>240</v>
      </c>
      <c r="H219" s="703">
        <f>Num_30dayRpts</f>
        <v>4</v>
      </c>
      <c r="I219" s="230">
        <v>40</v>
      </c>
      <c r="J219" s="655">
        <f t="shared" si="68"/>
        <v>160</v>
      </c>
      <c r="K219" s="656">
        <f t="shared" si="66"/>
        <v>-80</v>
      </c>
      <c r="L219" s="657"/>
      <c r="M219" s="685" t="s">
        <v>1096</v>
      </c>
      <c r="N219" s="659" t="s">
        <v>680</v>
      </c>
      <c r="O219" s="624" t="s">
        <v>1181</v>
      </c>
      <c r="P219" s="906"/>
    </row>
    <row r="220" spans="1:16" ht="25" x14ac:dyDescent="0.3">
      <c r="A220" s="881" t="s">
        <v>375</v>
      </c>
      <c r="B220" s="892"/>
      <c r="C220" s="879"/>
      <c r="D220" s="708" t="s">
        <v>539</v>
      </c>
      <c r="E220" s="709">
        <v>24</v>
      </c>
      <c r="F220" s="710">
        <v>20</v>
      </c>
      <c r="G220" s="710">
        <f>E220*F220</f>
        <v>480</v>
      </c>
      <c r="H220" s="709">
        <f>Num_FFD_Prgms_Full</f>
        <v>24</v>
      </c>
      <c r="I220" s="690">
        <v>20</v>
      </c>
      <c r="J220" s="711">
        <f t="shared" si="68"/>
        <v>480</v>
      </c>
      <c r="K220" s="712">
        <f t="shared" si="66"/>
        <v>0</v>
      </c>
      <c r="L220" s="657"/>
      <c r="M220" s="658"/>
      <c r="N220" s="659"/>
      <c r="O220" s="713"/>
      <c r="P220" s="906"/>
    </row>
    <row r="221" spans="1:16" ht="25" x14ac:dyDescent="0.3">
      <c r="A221" s="881" t="s">
        <v>375</v>
      </c>
      <c r="B221" s="897"/>
      <c r="C221" s="879"/>
      <c r="D221" s="11" t="s">
        <v>540</v>
      </c>
      <c r="E221" s="694">
        <v>25</v>
      </c>
      <c r="F221" s="691">
        <v>4</v>
      </c>
      <c r="G221" s="691">
        <f t="shared" ref="G221:G222" si="71">E221*F221</f>
        <v>100</v>
      </c>
      <c r="H221" s="694">
        <f>Num_FFD_Prgms_Total</f>
        <v>28</v>
      </c>
      <c r="I221" s="230">
        <v>4</v>
      </c>
      <c r="J221" s="655">
        <f t="shared" si="68"/>
        <v>112</v>
      </c>
      <c r="K221" s="714">
        <f t="shared" si="66"/>
        <v>12</v>
      </c>
      <c r="L221" s="657"/>
      <c r="M221" s="715"/>
      <c r="N221" s="716"/>
      <c r="O221" s="717"/>
      <c r="P221" s="906"/>
    </row>
    <row r="222" spans="1:16" ht="50.5" thickBot="1" x14ac:dyDescent="0.35">
      <c r="A222" s="881"/>
      <c r="B222" s="904"/>
      <c r="C222" s="879"/>
      <c r="D222" s="718" t="s">
        <v>541</v>
      </c>
      <c r="E222" s="719">
        <v>1</v>
      </c>
      <c r="F222" s="720">
        <v>4</v>
      </c>
      <c r="G222" s="720">
        <f t="shared" si="71"/>
        <v>4</v>
      </c>
      <c r="H222" s="721">
        <f>Num_Sites_CVs</f>
        <v>1</v>
      </c>
      <c r="I222" s="722">
        <v>4</v>
      </c>
      <c r="J222" s="723">
        <f t="shared" si="68"/>
        <v>4</v>
      </c>
      <c r="K222" s="724">
        <f t="shared" si="66"/>
        <v>0</v>
      </c>
      <c r="L222" s="657"/>
      <c r="M222" s="725"/>
      <c r="N222" s="726"/>
      <c r="O222" s="727"/>
      <c r="P222" s="906"/>
    </row>
    <row r="223" spans="1:16" ht="14.5" thickTop="1" x14ac:dyDescent="0.3">
      <c r="A223" s="881"/>
      <c r="B223" s="879"/>
      <c r="C223" s="879"/>
      <c r="D223" s="475" t="s">
        <v>277</v>
      </c>
      <c r="E223" s="12"/>
      <c r="F223" s="13"/>
      <c r="G223" s="14">
        <f>SUM(G3:G222)</f>
        <v>181067.47046296301</v>
      </c>
      <c r="H223" s="795"/>
      <c r="I223" s="13"/>
      <c r="J223" s="14">
        <f>SUM(J2:J222)</f>
        <v>167554.0866666667</v>
      </c>
      <c r="K223" s="796">
        <f t="shared" si="66"/>
        <v>-13513.383796296315</v>
      </c>
      <c r="L223" s="17"/>
      <c r="M223" s="17"/>
      <c r="N223" s="797"/>
      <c r="P223" s="887"/>
    </row>
    <row r="224" spans="1:16" ht="9.75" customHeight="1" x14ac:dyDescent="0.3">
      <c r="A224" s="881"/>
      <c r="B224" s="882"/>
      <c r="C224" s="879"/>
      <c r="D224" s="883"/>
      <c r="E224" s="884"/>
      <c r="F224" s="884"/>
      <c r="G224" s="884"/>
      <c r="H224" s="879"/>
      <c r="I224" s="879"/>
      <c r="J224" s="883"/>
      <c r="K224" s="885">
        <f>K223/G223</f>
        <v>-7.4631758878304158E-2</v>
      </c>
      <c r="L224" s="883"/>
      <c r="M224" s="883"/>
      <c r="N224" s="886"/>
      <c r="O224" s="886"/>
      <c r="P224" s="887"/>
    </row>
  </sheetData>
  <sheetProtection algorithmName="SHA-512" hashValue="siBTuKDO24jGtpLj1qkDIwc5s0rbmlfn/NkWjXzfygTCfaQLGgIXBmk/tdUro9OrdyCSUSy1xmsSIoJbE+iUzA==" saltValue="DE5upFaet8l7/orWDb0a9A==" spinCount="100000" sheet="1" objects="1" scenarios="1" formatCells="0" formatRows="0" autoFilter="0"/>
  <autoFilter ref="D2:O224" xr:uid="{00000000-0001-0000-0300-000000000000}"/>
  <mergeCells count="2">
    <mergeCell ref="H1:J1"/>
    <mergeCell ref="E1:G1"/>
  </mergeCells>
  <pageMargins left="0.75" right="0.75" top="0.75" bottom="0.75" header="0.5" footer="0.5"/>
  <pageSetup scale="88" fitToHeight="0" orientation="landscape" r:id="rId1"/>
  <headerFooter>
    <oddHeader xml:space="preserve">&amp;C&amp;"Arial,Bold"&amp;14FINAL Supporting Statement, 10 CFR Part 26
</oddHeader>
    <oddFooter>&amp;CPage &amp;P of &amp;N</oddFooter>
  </headerFooter>
  <colBreaks count="1" manualBreakCount="1">
    <brk id="4" max="1048575" man="1"/>
  </colBreaks>
  <ignoredErrors>
    <ignoredError sqref="H205 H200:H201 J15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S18"/>
  <sheetViews>
    <sheetView view="pageBreakPreview" zoomScaleNormal="100" zoomScaleSheetLayoutView="100" workbookViewId="0">
      <pane xSplit="4" ySplit="2" topLeftCell="J3" activePane="bottomRight" state="frozen"/>
      <selection activeCell="Q31" sqref="Q31"/>
      <selection pane="topRight" activeCell="Q31" sqref="Q31"/>
      <selection pane="bottomLeft" activeCell="Q31" sqref="Q31"/>
      <selection pane="bottomRight" activeCell="J4" sqref="J4"/>
    </sheetView>
  </sheetViews>
  <sheetFormatPr defaultColWidth="9" defaultRowHeight="12.75" customHeight="1" x14ac:dyDescent="0.3"/>
  <cols>
    <col min="1" max="1" width="11.5" style="9" hidden="1" customWidth="1"/>
    <col min="2" max="2" width="11.4140625" style="9" hidden="1" customWidth="1"/>
    <col min="3" max="3" width="2.4140625" customWidth="1"/>
    <col min="4" max="4" width="29.58203125" style="941" customWidth="1"/>
    <col min="5" max="5" width="10.4140625" style="6" hidden="1" customWidth="1"/>
    <col min="6" max="6" width="13.9140625" style="6" hidden="1" customWidth="1"/>
    <col min="7" max="7" width="11.4140625" style="6" hidden="1" customWidth="1"/>
    <col min="8" max="8" width="11.08203125" style="6" hidden="1" customWidth="1"/>
    <col min="9" max="9" width="9.08203125" style="6" hidden="1" customWidth="1"/>
    <col min="10" max="10" width="11.9140625" style="6" customWidth="1"/>
    <col min="11" max="11" width="11.5" style="6" customWidth="1"/>
    <col min="12" max="12" width="11.08203125" style="6" customWidth="1"/>
    <col min="13" max="13" width="10.9140625" style="6" customWidth="1"/>
    <col min="14" max="14" width="11.1640625" style="6" customWidth="1"/>
    <col min="15" max="15" width="9.6640625" style="6" hidden="1" customWidth="1"/>
    <col min="16" max="16" width="44.1640625" style="6" hidden="1" customWidth="1"/>
    <col min="17" max="17" width="8.08203125" style="6" hidden="1" customWidth="1"/>
    <col min="18" max="18" width="37.5" style="6" customWidth="1"/>
    <col min="19" max="19" width="2" style="6" customWidth="1"/>
    <col min="20" max="16384" width="9" style="6"/>
  </cols>
  <sheetData>
    <row r="1" spans="1:19" ht="19.75" customHeight="1" x14ac:dyDescent="0.4">
      <c r="A1" s="888" t="s">
        <v>829</v>
      </c>
      <c r="B1" s="888" t="s">
        <v>829</v>
      </c>
      <c r="C1" s="879"/>
      <c r="D1" s="932" t="s">
        <v>799</v>
      </c>
      <c r="E1" s="1178" t="s">
        <v>762</v>
      </c>
      <c r="F1" s="1180"/>
      <c r="G1" s="1180"/>
      <c r="H1" s="1180"/>
      <c r="I1" s="1180"/>
      <c r="J1" s="1179" t="s">
        <v>1139</v>
      </c>
      <c r="K1" s="1179"/>
      <c r="L1" s="1179"/>
      <c r="M1" s="1179"/>
      <c r="N1" s="1179"/>
      <c r="O1" s="764" t="s">
        <v>829</v>
      </c>
      <c r="P1" s="764" t="s">
        <v>829</v>
      </c>
      <c r="Q1" s="764" t="s">
        <v>829</v>
      </c>
      <c r="R1" s="763"/>
      <c r="S1" s="914"/>
    </row>
    <row r="2" spans="1:19" ht="43.5" customHeight="1" thickBot="1" x14ac:dyDescent="0.35">
      <c r="A2" s="889" t="s">
        <v>370</v>
      </c>
      <c r="B2" s="915" t="s">
        <v>548</v>
      </c>
      <c r="C2" s="879"/>
      <c r="D2" s="933" t="s">
        <v>336</v>
      </c>
      <c r="E2" s="474" t="s">
        <v>793</v>
      </c>
      <c r="F2" s="474" t="s">
        <v>549</v>
      </c>
      <c r="G2" s="765" t="s">
        <v>550</v>
      </c>
      <c r="H2" s="765" t="s">
        <v>551</v>
      </c>
      <c r="I2" s="474" t="s">
        <v>552</v>
      </c>
      <c r="J2" s="474" t="s">
        <v>1100</v>
      </c>
      <c r="K2" s="474" t="s">
        <v>1101</v>
      </c>
      <c r="L2" s="474" t="s">
        <v>550</v>
      </c>
      <c r="M2" s="474" t="s">
        <v>1210</v>
      </c>
      <c r="N2" s="474" t="s">
        <v>1211</v>
      </c>
      <c r="O2" s="760" t="s">
        <v>338</v>
      </c>
      <c r="P2" s="761" t="s">
        <v>339</v>
      </c>
      <c r="Q2" s="761" t="s">
        <v>340</v>
      </c>
      <c r="R2" s="762" t="s">
        <v>830</v>
      </c>
      <c r="S2" s="914"/>
    </row>
    <row r="3" spans="1:19" ht="36.75" customHeight="1" thickTop="1" x14ac:dyDescent="0.3">
      <c r="A3" s="916"/>
      <c r="B3" s="917"/>
      <c r="C3" s="879"/>
      <c r="D3" s="934" t="s">
        <v>835</v>
      </c>
      <c r="E3" s="468">
        <v>0</v>
      </c>
      <c r="F3" s="245">
        <v>1</v>
      </c>
      <c r="G3" s="469">
        <f>E3*F3</f>
        <v>0</v>
      </c>
      <c r="H3" s="470">
        <v>40</v>
      </c>
      <c r="I3" s="469">
        <f>E3*F3*H3</f>
        <v>0</v>
      </c>
      <c r="J3" s="468">
        <v>0</v>
      </c>
      <c r="K3" s="245">
        <v>1</v>
      </c>
      <c r="L3" s="470">
        <f>J3*K3</f>
        <v>0</v>
      </c>
      <c r="M3" s="470">
        <v>40</v>
      </c>
      <c r="N3" s="470">
        <f>J3*K3*M3</f>
        <v>0</v>
      </c>
      <c r="O3" s="89">
        <f>N3-I3</f>
        <v>0</v>
      </c>
      <c r="P3" s="477" t="s">
        <v>553</v>
      </c>
      <c r="Q3" s="438" t="s">
        <v>669</v>
      </c>
      <c r="R3" s="621"/>
      <c r="S3" s="914"/>
    </row>
    <row r="4" spans="1:19" ht="192" customHeight="1" x14ac:dyDescent="0.3">
      <c r="A4" s="918" t="s">
        <v>487</v>
      </c>
      <c r="B4" s="919"/>
      <c r="C4" s="879"/>
      <c r="D4" s="850" t="s">
        <v>836</v>
      </c>
      <c r="E4" s="440">
        <v>40</v>
      </c>
      <c r="F4" s="49">
        <v>1</v>
      </c>
      <c r="G4" s="246">
        <f>E4*F4</f>
        <v>40</v>
      </c>
      <c r="H4" s="245">
        <v>2</v>
      </c>
      <c r="I4" s="49">
        <f>E4*F4*H4</f>
        <v>80</v>
      </c>
      <c r="J4" s="440">
        <v>0</v>
      </c>
      <c r="K4" s="49">
        <v>1</v>
      </c>
      <c r="L4" s="248">
        <f>J4*K4</f>
        <v>0</v>
      </c>
      <c r="M4" s="49">
        <v>2</v>
      </c>
      <c r="N4" s="248">
        <f>J4*K4*M4</f>
        <v>0</v>
      </c>
      <c r="O4" s="90">
        <f>N4-I4</f>
        <v>-80</v>
      </c>
      <c r="P4" s="419" t="s">
        <v>554</v>
      </c>
      <c r="Q4" s="418" t="s">
        <v>669</v>
      </c>
      <c r="R4" s="619" t="s">
        <v>1099</v>
      </c>
      <c r="S4" s="914"/>
    </row>
    <row r="5" spans="1:19" ht="25" x14ac:dyDescent="0.3">
      <c r="A5" s="920"/>
      <c r="B5" s="921"/>
      <c r="C5" s="879"/>
      <c r="D5" s="935" t="s">
        <v>555</v>
      </c>
      <c r="E5" s="744">
        <v>0</v>
      </c>
      <c r="F5" s="246">
        <v>0</v>
      </c>
      <c r="G5" s="246">
        <v>0</v>
      </c>
      <c r="H5" s="663">
        <v>1</v>
      </c>
      <c r="I5" s="246">
        <f>E5*F5*H5</f>
        <v>0</v>
      </c>
      <c r="J5" s="744">
        <v>0</v>
      </c>
      <c r="K5" s="246">
        <v>0</v>
      </c>
      <c r="L5" s="246">
        <f>J5*K5</f>
        <v>0</v>
      </c>
      <c r="M5" s="664">
        <v>1</v>
      </c>
      <c r="N5" s="246">
        <f>J5*K5*M5</f>
        <v>0</v>
      </c>
      <c r="O5" s="745">
        <f t="shared" ref="O5:O16" si="0">N5-I5</f>
        <v>0</v>
      </c>
      <c r="P5" s="746"/>
      <c r="Q5" s="747"/>
      <c r="R5" s="748"/>
      <c r="S5" s="914"/>
    </row>
    <row r="6" spans="1:19" ht="25" x14ac:dyDescent="0.3">
      <c r="A6" s="922"/>
      <c r="B6" s="919"/>
      <c r="C6" s="879"/>
      <c r="D6" s="936" t="s">
        <v>556</v>
      </c>
      <c r="E6" s="752" t="s">
        <v>748</v>
      </c>
      <c r="F6" s="753"/>
      <c r="G6" s="753"/>
      <c r="H6" s="753"/>
      <c r="I6" s="753"/>
      <c r="J6" s="752" t="s">
        <v>748</v>
      </c>
      <c r="K6" s="753"/>
      <c r="L6" s="753"/>
      <c r="M6" s="753"/>
      <c r="N6" s="753"/>
      <c r="O6" s="754">
        <f t="shared" si="0"/>
        <v>0</v>
      </c>
      <c r="P6" s="387"/>
      <c r="Q6" s="391"/>
      <c r="R6" s="622"/>
      <c r="S6" s="914"/>
    </row>
    <row r="7" spans="1:19" ht="233.25" customHeight="1" x14ac:dyDescent="0.3">
      <c r="A7" s="923" t="s">
        <v>487</v>
      </c>
      <c r="B7" s="924"/>
      <c r="C7" s="879"/>
      <c r="D7" s="937" t="s">
        <v>557</v>
      </c>
      <c r="E7" s="468">
        <v>52</v>
      </c>
      <c r="F7" s="245">
        <v>1</v>
      </c>
      <c r="G7" s="245">
        <f>E7*F7</f>
        <v>52</v>
      </c>
      <c r="H7" s="245">
        <v>16</v>
      </c>
      <c r="I7" s="245">
        <f t="shared" ref="I7:I10" si="1">E7*F7*H7</f>
        <v>832</v>
      </c>
      <c r="J7" s="749">
        <f>(Num_Sites_Reactors_Operating)</f>
        <v>53</v>
      </c>
      <c r="K7" s="245">
        <v>1</v>
      </c>
      <c r="L7" s="245">
        <f>J7*K7</f>
        <v>53</v>
      </c>
      <c r="M7" s="245">
        <v>16</v>
      </c>
      <c r="N7" s="89">
        <f>J7*K7*M7</f>
        <v>848</v>
      </c>
      <c r="O7" s="89">
        <f t="shared" si="0"/>
        <v>16</v>
      </c>
      <c r="P7" s="750" t="s">
        <v>558</v>
      </c>
      <c r="Q7" s="438" t="s">
        <v>669</v>
      </c>
      <c r="R7" s="751" t="s">
        <v>1137</v>
      </c>
      <c r="S7" s="914"/>
    </row>
    <row r="8" spans="1:19" ht="63" customHeight="1" x14ac:dyDescent="0.3">
      <c r="A8" s="918" t="s">
        <v>487</v>
      </c>
      <c r="B8" s="925"/>
      <c r="C8" s="879"/>
      <c r="D8" s="830" t="s">
        <v>559</v>
      </c>
      <c r="E8" s="440">
        <v>52</v>
      </c>
      <c r="F8" s="245">
        <v>1</v>
      </c>
      <c r="G8" s="49">
        <f>E8*F8</f>
        <v>52</v>
      </c>
      <c r="H8" s="245">
        <v>2</v>
      </c>
      <c r="I8" s="49">
        <f t="shared" si="1"/>
        <v>104</v>
      </c>
      <c r="J8" s="368">
        <f>(Num_Sites_Reactors_Operating)</f>
        <v>53</v>
      </c>
      <c r="K8" s="245">
        <v>1</v>
      </c>
      <c r="L8" s="49">
        <f>J8*K8</f>
        <v>53</v>
      </c>
      <c r="M8" s="245">
        <v>2</v>
      </c>
      <c r="N8" s="89">
        <f>J8*K8*M8</f>
        <v>106</v>
      </c>
      <c r="O8" s="372">
        <f t="shared" si="0"/>
        <v>2</v>
      </c>
      <c r="P8" s="389" t="s">
        <v>560</v>
      </c>
      <c r="Q8" s="418"/>
      <c r="R8" s="619"/>
      <c r="S8" s="914"/>
    </row>
    <row r="9" spans="1:19" ht="57.75" customHeight="1" x14ac:dyDescent="0.3">
      <c r="A9" s="918" t="s">
        <v>317</v>
      </c>
      <c r="B9" s="926"/>
      <c r="C9" s="879"/>
      <c r="D9" s="830" t="s">
        <v>561</v>
      </c>
      <c r="E9" s="247" t="s">
        <v>749</v>
      </c>
      <c r="F9" s="229"/>
      <c r="G9" s="229"/>
      <c r="H9" s="229"/>
      <c r="I9" s="229"/>
      <c r="J9" s="247" t="s">
        <v>749</v>
      </c>
      <c r="K9" s="229"/>
      <c r="L9" s="229"/>
      <c r="M9" s="229"/>
      <c r="N9" s="229"/>
      <c r="O9" s="390">
        <f t="shared" si="0"/>
        <v>0</v>
      </c>
      <c r="P9" s="387"/>
      <c r="Q9" s="391"/>
      <c r="R9" s="622"/>
      <c r="S9" s="914"/>
    </row>
    <row r="10" spans="1:19" ht="87" customHeight="1" x14ac:dyDescent="0.3">
      <c r="A10" s="918" t="s">
        <v>317</v>
      </c>
      <c r="B10" s="919"/>
      <c r="C10" s="879"/>
      <c r="D10" s="830" t="s">
        <v>919</v>
      </c>
      <c r="E10" s="466">
        <v>0.33333333333333331</v>
      </c>
      <c r="F10" s="90">
        <v>1</v>
      </c>
      <c r="G10" s="49">
        <f t="shared" ref="G10:G16" si="2">E10*F10</f>
        <v>0.33333333333333331</v>
      </c>
      <c r="H10" s="49">
        <v>80</v>
      </c>
      <c r="I10" s="49">
        <f t="shared" si="1"/>
        <v>26.666666666666664</v>
      </c>
      <c r="J10" s="466">
        <f>Num_FFD_Prgms_SubK/3</f>
        <v>1.3333333333333333</v>
      </c>
      <c r="K10" s="49">
        <v>1</v>
      </c>
      <c r="L10" s="49">
        <f t="shared" ref="L10:L16" si="3">J10*K10</f>
        <v>1.3333333333333333</v>
      </c>
      <c r="M10" s="49">
        <v>80</v>
      </c>
      <c r="N10" s="248">
        <f t="shared" ref="N10" si="4">J10*K10*M10</f>
        <v>106.66666666666666</v>
      </c>
      <c r="O10" s="49">
        <f t="shared" si="0"/>
        <v>80</v>
      </c>
      <c r="P10" s="515"/>
      <c r="Q10" s="391"/>
      <c r="R10" s="619" t="s">
        <v>1138</v>
      </c>
      <c r="S10" s="914"/>
    </row>
    <row r="11" spans="1:19" ht="142.25" customHeight="1" x14ac:dyDescent="0.3">
      <c r="A11" s="918" t="s">
        <v>487</v>
      </c>
      <c r="B11" s="919"/>
      <c r="C11" s="879"/>
      <c r="D11" s="830" t="s">
        <v>823</v>
      </c>
      <c r="E11" s="440">
        <v>52</v>
      </c>
      <c r="F11" s="61">
        <v>1</v>
      </c>
      <c r="G11" s="49">
        <f t="shared" si="2"/>
        <v>52</v>
      </c>
      <c r="H11" s="61">
        <v>8</v>
      </c>
      <c r="I11" s="49">
        <f>E11*F11*H11</f>
        <v>416</v>
      </c>
      <c r="J11" s="368">
        <f>(Num_Sites_Reactors_Operating)</f>
        <v>53</v>
      </c>
      <c r="K11" s="49">
        <v>1</v>
      </c>
      <c r="L11" s="49">
        <f t="shared" si="3"/>
        <v>53</v>
      </c>
      <c r="M11" s="49">
        <v>8</v>
      </c>
      <c r="N11" s="49">
        <f>L11*M11</f>
        <v>424</v>
      </c>
      <c r="O11" s="49">
        <f t="shared" si="0"/>
        <v>8</v>
      </c>
      <c r="P11" s="419" t="s">
        <v>800</v>
      </c>
      <c r="Q11" s="418" t="s">
        <v>670</v>
      </c>
      <c r="R11" s="623" t="s">
        <v>1103</v>
      </c>
      <c r="S11" s="914"/>
    </row>
    <row r="12" spans="1:19" ht="219" customHeight="1" x14ac:dyDescent="0.3">
      <c r="A12" s="918" t="s">
        <v>373</v>
      </c>
      <c r="B12" s="919"/>
      <c r="C12" s="879"/>
      <c r="D12" s="830" t="s">
        <v>824</v>
      </c>
      <c r="E12" s="370">
        <v>60</v>
      </c>
      <c r="F12" s="61">
        <v>1</v>
      </c>
      <c r="G12" s="49">
        <f t="shared" si="2"/>
        <v>60</v>
      </c>
      <c r="H12" s="49">
        <v>60</v>
      </c>
      <c r="I12" s="49">
        <f>E12*F12*H12</f>
        <v>3600</v>
      </c>
      <c r="J12" s="370">
        <f>(Num_Sites_Reactors_Operating)+ SUM('Data '!$C$12,'Data '!$C$13,'Data '!$C$14)</f>
        <v>60</v>
      </c>
      <c r="K12" s="49">
        <v>1</v>
      </c>
      <c r="L12" s="49">
        <f t="shared" si="3"/>
        <v>60</v>
      </c>
      <c r="M12" s="245">
        <v>60</v>
      </c>
      <c r="N12" s="49">
        <f>L12*M12</f>
        <v>3600</v>
      </c>
      <c r="O12" s="390">
        <f t="shared" si="0"/>
        <v>0</v>
      </c>
      <c r="P12" s="387" t="s">
        <v>801</v>
      </c>
      <c r="Q12" s="418" t="s">
        <v>670</v>
      </c>
      <c r="R12" s="623" t="s">
        <v>1102</v>
      </c>
      <c r="S12" s="914"/>
    </row>
    <row r="13" spans="1:19" ht="112.5" customHeight="1" x14ac:dyDescent="0.3">
      <c r="A13" s="918" t="s">
        <v>373</v>
      </c>
      <c r="B13" s="919"/>
      <c r="C13" s="879"/>
      <c r="D13" s="854" t="s">
        <v>562</v>
      </c>
      <c r="E13" s="370">
        <v>36</v>
      </c>
      <c r="F13" s="61">
        <v>1</v>
      </c>
      <c r="G13" s="49">
        <f t="shared" si="2"/>
        <v>36</v>
      </c>
      <c r="H13" s="61">
        <v>4</v>
      </c>
      <c r="I13" s="49">
        <f t="shared" ref="I13:I16" si="5">E13*F13*H13</f>
        <v>144</v>
      </c>
      <c r="J13" s="370">
        <f>Num_24hrRpts</f>
        <v>30</v>
      </c>
      <c r="K13" s="49">
        <v>1</v>
      </c>
      <c r="L13" s="49">
        <f t="shared" si="3"/>
        <v>30</v>
      </c>
      <c r="M13" s="245">
        <v>4</v>
      </c>
      <c r="N13" s="49">
        <f>L13*M13</f>
        <v>120</v>
      </c>
      <c r="O13" s="390">
        <f t="shared" si="0"/>
        <v>-24</v>
      </c>
      <c r="P13" s="388" t="s">
        <v>563</v>
      </c>
      <c r="Q13" s="418" t="s">
        <v>670</v>
      </c>
      <c r="R13" s="623" t="s">
        <v>839</v>
      </c>
      <c r="S13" s="914"/>
    </row>
    <row r="14" spans="1:19" ht="102" customHeight="1" x14ac:dyDescent="0.3">
      <c r="A14" s="918" t="s">
        <v>373</v>
      </c>
      <c r="B14" s="919"/>
      <c r="C14" s="879"/>
      <c r="D14" s="938" t="s">
        <v>564</v>
      </c>
      <c r="E14" s="661">
        <v>6</v>
      </c>
      <c r="F14" s="662">
        <v>1</v>
      </c>
      <c r="G14" s="663">
        <f t="shared" si="2"/>
        <v>6</v>
      </c>
      <c r="H14" s="662">
        <v>24</v>
      </c>
      <c r="I14" s="663">
        <f t="shared" si="5"/>
        <v>144</v>
      </c>
      <c r="J14" s="661">
        <f>Num_30dayRpts</f>
        <v>4</v>
      </c>
      <c r="K14" s="663">
        <v>1</v>
      </c>
      <c r="L14" s="663">
        <f t="shared" si="3"/>
        <v>4</v>
      </c>
      <c r="M14" s="664">
        <v>24</v>
      </c>
      <c r="N14" s="49">
        <f>L14*M14</f>
        <v>96</v>
      </c>
      <c r="O14" s="420">
        <f t="shared" si="0"/>
        <v>-48</v>
      </c>
      <c r="P14" s="392" t="s">
        <v>565</v>
      </c>
      <c r="Q14" s="439" t="s">
        <v>671</v>
      </c>
      <c r="R14" s="665" t="s">
        <v>825</v>
      </c>
      <c r="S14" s="914"/>
    </row>
    <row r="15" spans="1:19" ht="50" x14ac:dyDescent="0.3">
      <c r="A15" s="918" t="s">
        <v>373</v>
      </c>
      <c r="B15" s="927"/>
      <c r="C15" s="879"/>
      <c r="D15" s="845" t="s">
        <v>566</v>
      </c>
      <c r="E15" s="369">
        <v>0</v>
      </c>
      <c r="F15" s="248">
        <v>1</v>
      </c>
      <c r="G15" s="248">
        <f t="shared" si="2"/>
        <v>0</v>
      </c>
      <c r="H15" s="61">
        <v>4</v>
      </c>
      <c r="I15" s="248">
        <f t="shared" si="5"/>
        <v>0</v>
      </c>
      <c r="J15" s="370">
        <v>0</v>
      </c>
      <c r="K15" s="49">
        <v>1</v>
      </c>
      <c r="L15" s="248">
        <f t="shared" si="3"/>
        <v>0</v>
      </c>
      <c r="M15" s="248">
        <v>4</v>
      </c>
      <c r="N15" s="248">
        <f t="shared" ref="N15:N16" si="6">L15*M15</f>
        <v>0</v>
      </c>
      <c r="O15" s="49">
        <f t="shared" si="0"/>
        <v>0</v>
      </c>
      <c r="P15" s="675"/>
      <c r="Q15" s="676"/>
      <c r="R15" s="660"/>
      <c r="S15" s="914"/>
    </row>
    <row r="16" spans="1:19" ht="63" thickBot="1" x14ac:dyDescent="0.35">
      <c r="A16" s="928" t="s">
        <v>373</v>
      </c>
      <c r="B16" s="929"/>
      <c r="C16" s="879"/>
      <c r="D16" s="939" t="s">
        <v>917</v>
      </c>
      <c r="E16" s="666">
        <v>0</v>
      </c>
      <c r="F16" s="667">
        <v>1</v>
      </c>
      <c r="G16" s="668">
        <f t="shared" si="2"/>
        <v>0</v>
      </c>
      <c r="H16" s="667">
        <v>4</v>
      </c>
      <c r="I16" s="668">
        <f t="shared" si="5"/>
        <v>0</v>
      </c>
      <c r="J16" s="669">
        <v>0</v>
      </c>
      <c r="K16" s="670">
        <v>1</v>
      </c>
      <c r="L16" s="668">
        <f t="shared" si="3"/>
        <v>0</v>
      </c>
      <c r="M16" s="668">
        <v>4</v>
      </c>
      <c r="N16" s="668">
        <f t="shared" si="6"/>
        <v>0</v>
      </c>
      <c r="O16" s="671">
        <f t="shared" si="0"/>
        <v>0</v>
      </c>
      <c r="P16" s="672"/>
      <c r="Q16" s="673"/>
      <c r="R16" s="674"/>
      <c r="S16" s="914"/>
    </row>
    <row r="17" spans="1:19" ht="14.5" thickTop="1" x14ac:dyDescent="0.3">
      <c r="A17" s="930"/>
      <c r="B17" s="879"/>
      <c r="C17" s="879"/>
      <c r="D17" s="940" t="s">
        <v>277</v>
      </c>
      <c r="E17" s="52"/>
      <c r="F17" s="52"/>
      <c r="G17" s="16">
        <f>SUM(G3:G16)</f>
        <v>298.33333333333337</v>
      </c>
      <c r="H17" s="52"/>
      <c r="I17" s="16">
        <f>SUM(I3:I16)</f>
        <v>5346.666666666667</v>
      </c>
      <c r="J17" s="298"/>
      <c r="K17" s="15"/>
      <c r="L17" s="743">
        <f>SUM(L3:L16)</f>
        <v>254.33333333333331</v>
      </c>
      <c r="M17" s="15"/>
      <c r="N17" s="742">
        <f>SUM(N3:N16)</f>
        <v>5300.666666666667</v>
      </c>
      <c r="O17" s="16">
        <f>SUM(O3:O16)</f>
        <v>-46</v>
      </c>
      <c r="P17" s="315"/>
      <c r="Q17" s="316"/>
      <c r="S17" s="914"/>
    </row>
    <row r="18" spans="1:19" ht="11.25" customHeight="1" x14ac:dyDescent="0.3">
      <c r="A18" s="879"/>
      <c r="B18" s="879"/>
      <c r="C18" s="879"/>
      <c r="D18"/>
      <c r="E18" s="879"/>
      <c r="F18" s="879"/>
      <c r="G18" s="879"/>
      <c r="H18" s="879"/>
      <c r="I18" s="879"/>
      <c r="J18" s="879"/>
      <c r="K18" s="879"/>
      <c r="L18" s="879"/>
      <c r="M18" s="879"/>
      <c r="N18" s="879"/>
      <c r="O18" s="885">
        <f>O17/I17</f>
        <v>-8.6034912718204477E-3</v>
      </c>
      <c r="P18" s="931"/>
      <c r="Q18" s="931"/>
      <c r="R18" s="914"/>
      <c r="S18" s="914"/>
    </row>
  </sheetData>
  <sheetProtection algorithmName="SHA-512" hashValue="D3pzuZ6Rc3RYfedkzp3pvw6PvRSPesKaUWwRcm9LCZsGI1IUbRKOqh98y2/Hq72WdO0sYxqa1wwVdS9QwFzqQA==" saltValue="ldVMTD++AD1NzXnYU0nl1w==" spinCount="100000" sheet="1" objects="1" scenarios="1" formatCells="0" formatRows="0" autoFilter="0"/>
  <autoFilter ref="D2:R2" xr:uid="{00000000-0001-0000-0400-000000000000}"/>
  <mergeCells count="2">
    <mergeCell ref="J1:N1"/>
    <mergeCell ref="E1:I1"/>
  </mergeCells>
  <pageMargins left="0.75" right="0.75" top="0.75" bottom="0.75" header="0.5" footer="0.55000000000000004"/>
  <pageSetup scale="87" fitToHeight="0" orientation="landscape" r:id="rId1"/>
  <headerFooter>
    <oddHeader xml:space="preserve">&amp;C&amp;"Arial,Bold"&amp;14FINAL Supporting Statement, 10 CFR Part 26&amp;16
</oddHeader>
    <oddFooter>&amp;CPage &amp;P of &amp;N</oddFooter>
  </headerFooter>
  <rowBreaks count="1" manualBreakCount="1">
    <brk id="13" min="2"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P100"/>
  <sheetViews>
    <sheetView view="pageBreakPreview" zoomScaleNormal="100" zoomScaleSheetLayoutView="100" workbookViewId="0">
      <pane xSplit="4" ySplit="2" topLeftCell="H3" activePane="bottomRight" state="frozen"/>
      <selection activeCell="Q31" sqref="Q31"/>
      <selection pane="topRight" activeCell="Q31" sqref="Q31"/>
      <selection pane="bottomLeft" activeCell="Q31" sqref="Q31"/>
      <selection pane="bottomRight" activeCell="Q31" sqref="Q31"/>
    </sheetView>
  </sheetViews>
  <sheetFormatPr defaultColWidth="9" defaultRowHeight="12.75" customHeight="1" x14ac:dyDescent="0.3"/>
  <cols>
    <col min="1" max="1" width="12.08203125" style="300" hidden="1" customWidth="1"/>
    <col min="2" max="2" width="13.08203125" style="21" hidden="1" customWidth="1"/>
    <col min="3" max="3" width="2.08203125" customWidth="1"/>
    <col min="4" max="4" width="46.58203125" style="7" customWidth="1"/>
    <col min="5" max="5" width="11.6640625" style="7" hidden="1" customWidth="1"/>
    <col min="6" max="6" width="13" style="7" hidden="1" customWidth="1"/>
    <col min="7" max="7" width="13.1640625" style="7" hidden="1" customWidth="1"/>
    <col min="8" max="8" width="11.9140625" style="6" customWidth="1"/>
    <col min="9" max="9" width="11.6640625" style="6" customWidth="1"/>
    <col min="10" max="10" width="12" style="6" customWidth="1"/>
    <col min="11" max="11" width="10.4140625" style="8" hidden="1" customWidth="1"/>
    <col min="12" max="12" width="42.1640625" style="6" hidden="1" customWidth="1"/>
    <col min="13" max="13" width="6.1640625" style="6" hidden="1" customWidth="1"/>
    <col min="14" max="14" width="40.4140625" style="6" customWidth="1"/>
    <col min="15" max="15" width="2.08203125" style="6" customWidth="1"/>
    <col min="16" max="16384" width="9" style="6"/>
  </cols>
  <sheetData>
    <row r="1" spans="1:15" ht="21" customHeight="1" x14ac:dyDescent="0.4">
      <c r="A1" s="942"/>
      <c r="C1" s="879"/>
      <c r="D1" s="951" t="s">
        <v>802</v>
      </c>
      <c r="E1" s="1181" t="s">
        <v>763</v>
      </c>
      <c r="F1" s="1181"/>
      <c r="G1" s="1174"/>
      <c r="H1" s="1172" t="s">
        <v>1139</v>
      </c>
      <c r="I1" s="1173"/>
      <c r="J1" s="1173"/>
      <c r="K1" s="813" t="s">
        <v>829</v>
      </c>
      <c r="L1" s="813" t="s">
        <v>829</v>
      </c>
      <c r="M1" s="813" t="s">
        <v>829</v>
      </c>
      <c r="N1" s="952"/>
      <c r="O1" s="914"/>
    </row>
    <row r="2" spans="1:15" ht="46.5" customHeight="1" thickBot="1" x14ac:dyDescent="0.35">
      <c r="A2" s="471" t="s">
        <v>370</v>
      </c>
      <c r="B2" s="249" t="s">
        <v>567</v>
      </c>
      <c r="C2" s="879"/>
      <c r="D2" s="933" t="s">
        <v>568</v>
      </c>
      <c r="E2" s="953" t="s">
        <v>890</v>
      </c>
      <c r="F2" s="953" t="s">
        <v>569</v>
      </c>
      <c r="G2" s="818" t="s">
        <v>889</v>
      </c>
      <c r="H2" s="818" t="s">
        <v>891</v>
      </c>
      <c r="I2" s="953" t="s">
        <v>569</v>
      </c>
      <c r="J2" s="953" t="s">
        <v>889</v>
      </c>
      <c r="K2" s="820" t="s">
        <v>570</v>
      </c>
      <c r="L2" s="821" t="s">
        <v>339</v>
      </c>
      <c r="M2" s="821" t="s">
        <v>340</v>
      </c>
      <c r="N2" s="822" t="s">
        <v>830</v>
      </c>
      <c r="O2" s="914"/>
    </row>
    <row r="3" spans="1:15" ht="95" customHeight="1" thickTop="1" x14ac:dyDescent="0.3">
      <c r="A3" s="300" t="s">
        <v>373</v>
      </c>
      <c r="B3" s="480"/>
      <c r="C3" s="879"/>
      <c r="D3" s="954" t="s">
        <v>729</v>
      </c>
      <c r="E3" s="955">
        <v>30</v>
      </c>
      <c r="F3" s="956">
        <v>2</v>
      </c>
      <c r="G3" s="955">
        <f>E3*F3</f>
        <v>60</v>
      </c>
      <c r="H3" s="957">
        <f>(1/2)*((Num_Sites_Reactors_Operating) +SUM('Data '!$C$12,'Data '!$C$13,'Data '!$C$14))</f>
        <v>30</v>
      </c>
      <c r="I3" s="957">
        <v>2</v>
      </c>
      <c r="J3" s="957">
        <f>I3*H3</f>
        <v>60</v>
      </c>
      <c r="K3" s="958">
        <f>J3-G3</f>
        <v>0</v>
      </c>
      <c r="L3" s="959" t="s">
        <v>953</v>
      </c>
      <c r="M3" s="960" t="s">
        <v>659</v>
      </c>
      <c r="N3" s="961" t="s">
        <v>1197</v>
      </c>
      <c r="O3" s="914"/>
    </row>
    <row r="4" spans="1:15" ht="177" customHeight="1" x14ac:dyDescent="0.3">
      <c r="A4" s="300" t="s">
        <v>373</v>
      </c>
      <c r="B4" s="165"/>
      <c r="C4" s="879"/>
      <c r="D4" s="850" t="s">
        <v>915</v>
      </c>
      <c r="E4" s="962">
        <v>68285.166666666672</v>
      </c>
      <c r="F4" s="963">
        <v>2</v>
      </c>
      <c r="G4" s="962">
        <f t="shared" ref="G4:G13" si="0">E4*F4</f>
        <v>136570.33333333334</v>
      </c>
      <c r="H4" s="964">
        <f>ROUNDUP(Num_PreAccess_Tests,0)</f>
        <v>60257</v>
      </c>
      <c r="I4" s="963">
        <v>2</v>
      </c>
      <c r="J4" s="965">
        <f>H4*I4</f>
        <v>120514</v>
      </c>
      <c r="K4" s="958">
        <f t="shared" ref="K4:K55" si="1">J4-G4</f>
        <v>-16056.333333333343</v>
      </c>
      <c r="L4" s="966" t="s">
        <v>954</v>
      </c>
      <c r="M4" s="967" t="s">
        <v>659</v>
      </c>
      <c r="N4" s="968" t="s">
        <v>1118</v>
      </c>
      <c r="O4" s="914"/>
    </row>
    <row r="5" spans="1:15" ht="207.75" customHeight="1" x14ac:dyDescent="0.3">
      <c r="A5" s="300" t="s">
        <v>373</v>
      </c>
      <c r="B5" s="165"/>
      <c r="C5" s="879"/>
      <c r="D5" s="969" t="s">
        <v>916</v>
      </c>
      <c r="E5" s="962">
        <v>85917</v>
      </c>
      <c r="F5" s="957">
        <v>1.5</v>
      </c>
      <c r="G5" s="962">
        <f t="shared" si="0"/>
        <v>128875.5</v>
      </c>
      <c r="H5" s="964">
        <f>ROUNDUP(RandomTestPop_FullPrgm,0)</f>
        <v>76528</v>
      </c>
      <c r="I5" s="957">
        <v>1.5</v>
      </c>
      <c r="J5" s="965">
        <f>H5*I5</f>
        <v>114792</v>
      </c>
      <c r="K5" s="958">
        <f t="shared" si="1"/>
        <v>-14083.5</v>
      </c>
      <c r="L5" s="966" t="s">
        <v>1112</v>
      </c>
      <c r="M5" s="967" t="s">
        <v>659</v>
      </c>
      <c r="N5" s="968" t="s">
        <v>1198</v>
      </c>
      <c r="O5" s="914"/>
    </row>
    <row r="6" spans="1:15" ht="78.75" customHeight="1" x14ac:dyDescent="0.3">
      <c r="A6" s="300" t="s">
        <v>373</v>
      </c>
      <c r="B6" s="163"/>
      <c r="C6" s="879"/>
      <c r="D6" s="970" t="s">
        <v>571</v>
      </c>
      <c r="E6" s="962">
        <v>310</v>
      </c>
      <c r="F6" s="971">
        <v>1</v>
      </c>
      <c r="G6" s="962">
        <f t="shared" si="0"/>
        <v>310</v>
      </c>
      <c r="H6" s="965">
        <f>5*SUM('Data '!C10,'Data '!C12,'Data '!C13,'Data '!C14)</f>
        <v>300</v>
      </c>
      <c r="I6" s="971">
        <v>1</v>
      </c>
      <c r="J6" s="965">
        <f>I6*H6</f>
        <v>300</v>
      </c>
      <c r="K6" s="958">
        <f t="shared" si="1"/>
        <v>-10</v>
      </c>
      <c r="L6" s="966" t="s">
        <v>1113</v>
      </c>
      <c r="M6" s="967" t="s">
        <v>659</v>
      </c>
      <c r="N6" s="968" t="s">
        <v>1199</v>
      </c>
      <c r="O6" s="914"/>
    </row>
    <row r="7" spans="1:15" ht="45" customHeight="1" x14ac:dyDescent="0.3">
      <c r="A7" s="300" t="s">
        <v>375</v>
      </c>
      <c r="B7" s="163"/>
      <c r="C7" s="879"/>
      <c r="D7" s="970" t="s">
        <v>572</v>
      </c>
      <c r="E7" s="962">
        <v>24</v>
      </c>
      <c r="F7" s="971">
        <v>32</v>
      </c>
      <c r="G7" s="962">
        <f t="shared" si="0"/>
        <v>768</v>
      </c>
      <c r="H7" s="957">
        <f>Num_FFD_Prgms_Full</f>
        <v>24</v>
      </c>
      <c r="I7" s="971">
        <v>32</v>
      </c>
      <c r="J7" s="965">
        <f t="shared" ref="J7:J12" si="2">I7*H7</f>
        <v>768</v>
      </c>
      <c r="K7" s="958">
        <f t="shared" si="1"/>
        <v>0</v>
      </c>
      <c r="L7" s="966" t="s">
        <v>955</v>
      </c>
      <c r="M7" s="967" t="s">
        <v>659</v>
      </c>
      <c r="N7" s="968" t="s">
        <v>1200</v>
      </c>
      <c r="O7" s="914"/>
    </row>
    <row r="8" spans="1:15" ht="111" customHeight="1" x14ac:dyDescent="0.3">
      <c r="A8" s="300" t="s">
        <v>373</v>
      </c>
      <c r="B8" s="165"/>
      <c r="C8" s="879"/>
      <c r="D8" s="970" t="s">
        <v>573</v>
      </c>
      <c r="E8" s="962">
        <f>ROUNDUP(85916 * (0.01),0)</f>
        <v>860</v>
      </c>
      <c r="F8" s="972">
        <v>0.25</v>
      </c>
      <c r="G8" s="962">
        <f t="shared" si="0"/>
        <v>215</v>
      </c>
      <c r="H8" s="965">
        <f xml:space="preserve"> ROUNDUP(RandomTestPop_FullPrgm * (0.01),0)</f>
        <v>766</v>
      </c>
      <c r="I8" s="972">
        <f>15/60</f>
        <v>0.25</v>
      </c>
      <c r="J8" s="965">
        <f t="shared" si="2"/>
        <v>191.5</v>
      </c>
      <c r="K8" s="958">
        <f t="shared" si="1"/>
        <v>-23.5</v>
      </c>
      <c r="L8" s="966" t="s">
        <v>956</v>
      </c>
      <c r="M8" s="967" t="s">
        <v>660</v>
      </c>
      <c r="N8" s="968" t="s">
        <v>989</v>
      </c>
      <c r="O8" s="948"/>
    </row>
    <row r="9" spans="1:15" ht="31.25" customHeight="1" x14ac:dyDescent="0.3">
      <c r="A9" s="300" t="s">
        <v>375</v>
      </c>
      <c r="B9" s="163"/>
      <c r="C9" s="879"/>
      <c r="D9" s="970" t="s">
        <v>574</v>
      </c>
      <c r="E9" s="962">
        <v>12</v>
      </c>
      <c r="F9" s="971">
        <v>1</v>
      </c>
      <c r="G9" s="962">
        <f t="shared" si="0"/>
        <v>12</v>
      </c>
      <c r="H9" s="965">
        <f>0.5 *Num_FFD_Prgms_Full</f>
        <v>12</v>
      </c>
      <c r="I9" s="971">
        <v>1</v>
      </c>
      <c r="J9" s="965">
        <f t="shared" si="2"/>
        <v>12</v>
      </c>
      <c r="K9" s="958">
        <f t="shared" si="1"/>
        <v>0</v>
      </c>
      <c r="L9" s="966"/>
      <c r="M9" s="966"/>
      <c r="N9" s="968"/>
      <c r="O9" s="914"/>
    </row>
    <row r="10" spans="1:15" ht="159" customHeight="1" x14ac:dyDescent="0.3">
      <c r="A10" s="300" t="s">
        <v>373</v>
      </c>
      <c r="B10" s="165"/>
      <c r="C10" s="879"/>
      <c r="D10" s="970" t="s">
        <v>923</v>
      </c>
      <c r="E10" s="962">
        <v>209.16666666666669</v>
      </c>
      <c r="F10" s="972">
        <v>0.25</v>
      </c>
      <c r="G10" s="962">
        <f>E10*F10</f>
        <v>52.291666666666671</v>
      </c>
      <c r="H10" s="965">
        <f>ROUNDUP(SUM('Data '!C31:C34),0)</f>
        <v>231</v>
      </c>
      <c r="I10" s="972">
        <f>15/60</f>
        <v>0.25</v>
      </c>
      <c r="J10" s="965">
        <f t="shared" si="2"/>
        <v>57.75</v>
      </c>
      <c r="K10" s="958">
        <f t="shared" si="1"/>
        <v>5.4583333333333286</v>
      </c>
      <c r="L10" s="966" t="s">
        <v>957</v>
      </c>
      <c r="M10" s="967" t="s">
        <v>660</v>
      </c>
      <c r="N10" s="968" t="s">
        <v>990</v>
      </c>
      <c r="O10" s="948"/>
    </row>
    <row r="11" spans="1:15" ht="49.5" customHeight="1" x14ac:dyDescent="0.3">
      <c r="A11" s="300" t="s">
        <v>373</v>
      </c>
      <c r="B11" s="165"/>
      <c r="C11" s="879"/>
      <c r="D11" s="970" t="s">
        <v>938</v>
      </c>
      <c r="E11" s="962">
        <v>209.16666666666669</v>
      </c>
      <c r="F11" s="972">
        <v>0.25</v>
      </c>
      <c r="G11" s="962">
        <f t="shared" si="0"/>
        <v>52.291666666666671</v>
      </c>
      <c r="H11" s="965">
        <f>ROUNDUP(SUM('Data '!C31:C34),0)</f>
        <v>231</v>
      </c>
      <c r="I11" s="972">
        <f>15/60</f>
        <v>0.25</v>
      </c>
      <c r="J11" s="965">
        <f t="shared" si="2"/>
        <v>57.75</v>
      </c>
      <c r="K11" s="958">
        <f t="shared" si="1"/>
        <v>5.4583333333333286</v>
      </c>
      <c r="L11" s="966" t="s">
        <v>958</v>
      </c>
      <c r="M11" s="967" t="s">
        <v>660</v>
      </c>
      <c r="N11" s="968"/>
      <c r="O11" s="948"/>
    </row>
    <row r="12" spans="1:15" ht="49.5" customHeight="1" x14ac:dyDescent="0.3">
      <c r="A12" s="300" t="s">
        <v>375</v>
      </c>
      <c r="B12" s="165"/>
      <c r="C12" s="879"/>
      <c r="D12" s="970" t="s">
        <v>959</v>
      </c>
      <c r="E12" s="962">
        <f>ROUND(209*0.1,0)</f>
        <v>21</v>
      </c>
      <c r="F12" s="972">
        <v>0.25</v>
      </c>
      <c r="G12" s="962">
        <f t="shared" si="0"/>
        <v>5.25</v>
      </c>
      <c r="H12" s="965">
        <f>ROUNDUP(H11*0.1,0)</f>
        <v>24</v>
      </c>
      <c r="I12" s="972">
        <f>15/60</f>
        <v>0.25</v>
      </c>
      <c r="J12" s="965">
        <f t="shared" si="2"/>
        <v>6</v>
      </c>
      <c r="K12" s="958">
        <f t="shared" si="1"/>
        <v>0.75</v>
      </c>
      <c r="L12" s="966" t="s">
        <v>960</v>
      </c>
      <c r="M12" s="967" t="s">
        <v>660</v>
      </c>
      <c r="N12" s="968"/>
      <c r="O12" s="930"/>
    </row>
    <row r="13" spans="1:15" ht="116.25" customHeight="1" x14ac:dyDescent="0.3">
      <c r="B13" s="163"/>
      <c r="C13" s="879"/>
      <c r="D13" s="857" t="s">
        <v>575</v>
      </c>
      <c r="E13" s="962">
        <v>68285.166666666672</v>
      </c>
      <c r="F13" s="972">
        <v>0.25</v>
      </c>
      <c r="G13" s="962">
        <f t="shared" si="0"/>
        <v>17071.291666666668</v>
      </c>
      <c r="H13" s="965">
        <f>ROUNDUP(Num_PreAccess_Tests,0)</f>
        <v>60257</v>
      </c>
      <c r="I13" s="972">
        <f>15/60</f>
        <v>0.25</v>
      </c>
      <c r="J13" s="965">
        <f>I13*H13</f>
        <v>15064.25</v>
      </c>
      <c r="K13" s="958">
        <f t="shared" si="1"/>
        <v>-2007.0416666666679</v>
      </c>
      <c r="L13" s="966" t="s">
        <v>961</v>
      </c>
      <c r="M13" s="967" t="s">
        <v>660</v>
      </c>
      <c r="N13" s="968" t="s">
        <v>1201</v>
      </c>
      <c r="O13" s="914"/>
    </row>
    <row r="14" spans="1:15" ht="73.5" customHeight="1" x14ac:dyDescent="0.3">
      <c r="B14" s="163"/>
      <c r="C14" s="879"/>
      <c r="D14" s="857" t="s">
        <v>576</v>
      </c>
      <c r="E14" s="973" t="s">
        <v>745</v>
      </c>
      <c r="F14" s="973"/>
      <c r="G14" s="973"/>
      <c r="H14" s="973" t="s">
        <v>745</v>
      </c>
      <c r="I14" s="973"/>
      <c r="J14" s="973"/>
      <c r="K14" s="958">
        <f t="shared" si="1"/>
        <v>0</v>
      </c>
      <c r="L14" s="966"/>
      <c r="M14" s="966"/>
      <c r="N14" s="974" t="s">
        <v>1206</v>
      </c>
      <c r="O14" s="914"/>
    </row>
    <row r="15" spans="1:15" ht="37.5" x14ac:dyDescent="0.3">
      <c r="B15" s="163"/>
      <c r="C15" s="879"/>
      <c r="D15" s="857" t="s">
        <v>577</v>
      </c>
      <c r="E15" s="973" t="s">
        <v>698</v>
      </c>
      <c r="F15" s="973"/>
      <c r="G15" s="973"/>
      <c r="H15" s="973" t="s">
        <v>698</v>
      </c>
      <c r="I15" s="973"/>
      <c r="J15" s="973"/>
      <c r="K15" s="958">
        <f t="shared" si="1"/>
        <v>0</v>
      </c>
      <c r="L15" s="966"/>
      <c r="M15" s="966"/>
      <c r="N15" s="968"/>
      <c r="O15" s="914"/>
    </row>
    <row r="16" spans="1:15" ht="25" x14ac:dyDescent="0.3">
      <c r="A16" s="300" t="s">
        <v>373</v>
      </c>
      <c r="B16" s="163"/>
      <c r="C16" s="879"/>
      <c r="D16" s="857" t="s">
        <v>578</v>
      </c>
      <c r="E16" s="962">
        <v>68285.166666666672</v>
      </c>
      <c r="F16" s="971">
        <v>1</v>
      </c>
      <c r="G16" s="962">
        <f t="shared" ref="G16:G17" si="3">E16*F16</f>
        <v>68285.166666666672</v>
      </c>
      <c r="H16" s="975">
        <f>ROUNDUP(Num_PreAccess_Tests,0)</f>
        <v>60257</v>
      </c>
      <c r="I16" s="976">
        <v>1</v>
      </c>
      <c r="J16" s="975">
        <f t="shared" ref="J16:J17" si="4">I16*H16</f>
        <v>60257</v>
      </c>
      <c r="K16" s="958">
        <f t="shared" si="1"/>
        <v>-8028.1666666666715</v>
      </c>
      <c r="L16" s="966"/>
      <c r="M16" s="966"/>
      <c r="N16" s="968"/>
      <c r="O16" s="914"/>
    </row>
    <row r="17" spans="1:15" ht="54" customHeight="1" x14ac:dyDescent="0.3">
      <c r="A17" s="300" t="s">
        <v>373</v>
      </c>
      <c r="B17" s="163"/>
      <c r="C17" s="879"/>
      <c r="D17" s="970" t="s">
        <v>579</v>
      </c>
      <c r="E17" s="962">
        <v>68285.166666666672</v>
      </c>
      <c r="F17" s="972">
        <v>0.75</v>
      </c>
      <c r="G17" s="962">
        <f t="shared" si="3"/>
        <v>51213.875</v>
      </c>
      <c r="H17" s="965">
        <f>ROUNDUP(Num_PreAccess_Tests,0)</f>
        <v>60257</v>
      </c>
      <c r="I17" s="972">
        <f>45/60</f>
        <v>0.75</v>
      </c>
      <c r="J17" s="965">
        <f t="shared" si="4"/>
        <v>45192.75</v>
      </c>
      <c r="K17" s="958">
        <f t="shared" si="1"/>
        <v>-6021.125</v>
      </c>
      <c r="L17" s="966"/>
      <c r="M17" s="966"/>
      <c r="N17" s="968"/>
      <c r="O17" s="914"/>
    </row>
    <row r="18" spans="1:15" ht="37.5" x14ac:dyDescent="0.3">
      <c r="B18" s="163"/>
      <c r="C18" s="879"/>
      <c r="D18" s="970" t="s">
        <v>580</v>
      </c>
      <c r="E18" s="973" t="s">
        <v>746</v>
      </c>
      <c r="F18" s="973"/>
      <c r="G18" s="973"/>
      <c r="H18" s="973" t="s">
        <v>746</v>
      </c>
      <c r="I18" s="973"/>
      <c r="J18" s="973"/>
      <c r="K18" s="958">
        <f t="shared" si="1"/>
        <v>0</v>
      </c>
      <c r="L18" s="966"/>
      <c r="M18" s="966"/>
      <c r="N18" s="968"/>
      <c r="O18" s="914"/>
    </row>
    <row r="19" spans="1:15" ht="59.4" customHeight="1" x14ac:dyDescent="0.3">
      <c r="A19" s="300" t="s">
        <v>373</v>
      </c>
      <c r="B19" s="163"/>
      <c r="C19" s="879"/>
      <c r="D19" s="970" t="s">
        <v>581</v>
      </c>
      <c r="E19" s="962">
        <f>ROUND((0.2/100)*68285,-1)</f>
        <v>140</v>
      </c>
      <c r="F19" s="971">
        <v>8.3333333333333329E-2</v>
      </c>
      <c r="G19" s="962">
        <f t="shared" ref="G19:G34" si="5">E19*F19</f>
        <v>11.666666666666666</v>
      </c>
      <c r="H19" s="971">
        <f>ROUND((0.2/100)*Num_PreAccess_Tests,-1)</f>
        <v>120</v>
      </c>
      <c r="I19" s="971">
        <f>5/60</f>
        <v>8.3333333333333329E-2</v>
      </c>
      <c r="J19" s="965">
        <f>I19*H19</f>
        <v>10</v>
      </c>
      <c r="K19" s="958">
        <f t="shared" si="1"/>
        <v>-1.6666666666666661</v>
      </c>
      <c r="L19" s="966"/>
      <c r="M19" s="966"/>
      <c r="N19" s="968" t="s">
        <v>1114</v>
      </c>
      <c r="O19" s="914"/>
    </row>
    <row r="20" spans="1:15" ht="108.75" customHeight="1" x14ac:dyDescent="0.3">
      <c r="A20" s="300" t="s">
        <v>373</v>
      </c>
      <c r="B20" s="386"/>
      <c r="C20" s="879"/>
      <c r="D20" s="970" t="s">
        <v>582</v>
      </c>
      <c r="E20" s="962">
        <f>0.005*68285</f>
        <v>341.42500000000001</v>
      </c>
      <c r="F20" s="971">
        <v>0.5</v>
      </c>
      <c r="G20" s="962">
        <f t="shared" si="5"/>
        <v>170.71250000000001</v>
      </c>
      <c r="H20" s="971">
        <f>ROUNDUP(0.005 * Num_PreAccess_Tests,0)</f>
        <v>302</v>
      </c>
      <c r="I20" s="971">
        <f>30/60</f>
        <v>0.5</v>
      </c>
      <c r="J20" s="965">
        <f>I20*H20</f>
        <v>151</v>
      </c>
      <c r="K20" s="958">
        <f t="shared" si="1"/>
        <v>-19.712500000000006</v>
      </c>
      <c r="L20" s="966" t="s">
        <v>1105</v>
      </c>
      <c r="M20" s="967" t="s">
        <v>661</v>
      </c>
      <c r="N20" s="968" t="s">
        <v>1202</v>
      </c>
      <c r="O20" s="914"/>
    </row>
    <row r="21" spans="1:15" ht="50" x14ac:dyDescent="0.3">
      <c r="B21" s="163"/>
      <c r="C21" s="879"/>
      <c r="D21" s="970" t="s">
        <v>583</v>
      </c>
      <c r="E21" s="973" t="s">
        <v>698</v>
      </c>
      <c r="F21" s="973"/>
      <c r="G21" s="973"/>
      <c r="H21" s="973" t="s">
        <v>698</v>
      </c>
      <c r="I21" s="973"/>
      <c r="J21" s="973"/>
      <c r="K21" s="958">
        <f t="shared" si="1"/>
        <v>0</v>
      </c>
      <c r="L21" s="966"/>
      <c r="M21" s="966"/>
      <c r="N21" s="968"/>
      <c r="O21" s="914"/>
    </row>
    <row r="22" spans="1:15" ht="102" customHeight="1" x14ac:dyDescent="0.3">
      <c r="A22" s="300" t="s">
        <v>373</v>
      </c>
      <c r="B22" s="165"/>
      <c r="C22" s="879"/>
      <c r="D22" s="970" t="s">
        <v>584</v>
      </c>
      <c r="E22" s="962">
        <v>682.85166666666669</v>
      </c>
      <c r="F22" s="962">
        <v>2</v>
      </c>
      <c r="G22" s="962">
        <f t="shared" si="5"/>
        <v>1365.7033333333334</v>
      </c>
      <c r="H22" s="971">
        <f>ROUNDUP(0.01 * Num_PreAccess_Tests,0)</f>
        <v>603</v>
      </c>
      <c r="I22" s="971">
        <v>2</v>
      </c>
      <c r="J22" s="965">
        <f t="shared" ref="J22:J34" si="6">I22*H22</f>
        <v>1206</v>
      </c>
      <c r="K22" s="958">
        <f t="shared" si="1"/>
        <v>-159.70333333333338</v>
      </c>
      <c r="L22" s="966" t="s">
        <v>962</v>
      </c>
      <c r="M22" s="967" t="s">
        <v>662</v>
      </c>
      <c r="N22" s="968" t="s">
        <v>991</v>
      </c>
      <c r="O22" s="914"/>
    </row>
    <row r="23" spans="1:15" ht="51" customHeight="1" x14ac:dyDescent="0.3">
      <c r="A23" s="300" t="s">
        <v>375</v>
      </c>
      <c r="B23" s="87" t="s">
        <v>847</v>
      </c>
      <c r="C23" s="879"/>
      <c r="D23" s="970" t="s">
        <v>963</v>
      </c>
      <c r="E23" s="962">
        <v>24</v>
      </c>
      <c r="F23" s="962">
        <v>1</v>
      </c>
      <c r="G23" s="962">
        <f t="shared" si="5"/>
        <v>24</v>
      </c>
      <c r="H23" s="971">
        <f>Num_FFD_Prgms_Full</f>
        <v>24</v>
      </c>
      <c r="I23" s="971">
        <v>1</v>
      </c>
      <c r="J23" s="965">
        <f t="shared" si="6"/>
        <v>24</v>
      </c>
      <c r="K23" s="958">
        <f t="shared" si="1"/>
        <v>0</v>
      </c>
      <c r="L23" s="966"/>
      <c r="M23" s="966"/>
      <c r="N23" s="856" t="s">
        <v>944</v>
      </c>
      <c r="O23" s="914"/>
    </row>
    <row r="24" spans="1:15" ht="14" x14ac:dyDescent="0.3">
      <c r="A24" s="300" t="s">
        <v>375</v>
      </c>
      <c r="B24" s="42"/>
      <c r="C24" s="879"/>
      <c r="D24" s="970" t="s">
        <v>585</v>
      </c>
      <c r="E24" s="962">
        <v>24</v>
      </c>
      <c r="F24" s="962">
        <v>4</v>
      </c>
      <c r="G24" s="962">
        <f t="shared" si="5"/>
        <v>96</v>
      </c>
      <c r="H24" s="971">
        <f>Num_FFD_Prgms_Full</f>
        <v>24</v>
      </c>
      <c r="I24" s="971">
        <v>4</v>
      </c>
      <c r="J24" s="965">
        <f t="shared" si="6"/>
        <v>96</v>
      </c>
      <c r="K24" s="958">
        <f t="shared" si="1"/>
        <v>0</v>
      </c>
      <c r="L24" s="966"/>
      <c r="M24" s="966"/>
      <c r="N24" s="968"/>
      <c r="O24" s="914"/>
    </row>
    <row r="25" spans="1:15" ht="25" x14ac:dyDescent="0.3">
      <c r="B25" s="163"/>
      <c r="C25" s="879"/>
      <c r="D25" s="970" t="s">
        <v>586</v>
      </c>
      <c r="E25" s="962">
        <v>2</v>
      </c>
      <c r="F25" s="962">
        <v>1</v>
      </c>
      <c r="G25" s="962">
        <f t="shared" si="5"/>
        <v>2</v>
      </c>
      <c r="H25" s="971">
        <v>2</v>
      </c>
      <c r="I25" s="971">
        <v>1</v>
      </c>
      <c r="J25" s="965">
        <f t="shared" si="6"/>
        <v>2</v>
      </c>
      <c r="K25" s="958">
        <f t="shared" si="1"/>
        <v>0</v>
      </c>
      <c r="L25" s="966"/>
      <c r="M25" s="966"/>
      <c r="N25" s="968"/>
      <c r="O25" s="914"/>
    </row>
    <row r="26" spans="1:15" ht="37.5" x14ac:dyDescent="0.3">
      <c r="B26" s="163"/>
      <c r="C26" s="879"/>
      <c r="D26" s="970" t="s">
        <v>1106</v>
      </c>
      <c r="E26" s="962">
        <v>2</v>
      </c>
      <c r="F26" s="962">
        <v>1</v>
      </c>
      <c r="G26" s="962">
        <f t="shared" si="5"/>
        <v>2</v>
      </c>
      <c r="H26" s="971">
        <v>2</v>
      </c>
      <c r="I26" s="971">
        <v>1</v>
      </c>
      <c r="J26" s="965">
        <f t="shared" si="6"/>
        <v>2</v>
      </c>
      <c r="K26" s="958">
        <f t="shared" si="1"/>
        <v>0</v>
      </c>
      <c r="L26" s="966"/>
      <c r="M26" s="966"/>
      <c r="N26" s="968"/>
      <c r="O26" s="914"/>
    </row>
    <row r="27" spans="1:15" ht="37.5" x14ac:dyDescent="0.3">
      <c r="B27" s="42"/>
      <c r="C27" s="879"/>
      <c r="D27" s="970" t="s">
        <v>587</v>
      </c>
      <c r="E27" s="962">
        <v>0</v>
      </c>
      <c r="F27" s="972">
        <v>0.25</v>
      </c>
      <c r="G27" s="962">
        <f t="shared" si="5"/>
        <v>0</v>
      </c>
      <c r="H27" s="962">
        <v>0</v>
      </c>
      <c r="I27" s="972">
        <f>15/60</f>
        <v>0.25</v>
      </c>
      <c r="J27" s="962">
        <f t="shared" si="6"/>
        <v>0</v>
      </c>
      <c r="K27" s="958">
        <f t="shared" si="1"/>
        <v>0</v>
      </c>
      <c r="L27" s="966"/>
      <c r="M27" s="966"/>
      <c r="N27" s="968"/>
      <c r="O27" s="914"/>
    </row>
    <row r="28" spans="1:15" ht="25" x14ac:dyDescent="0.3">
      <c r="B28" s="42"/>
      <c r="C28" s="879"/>
      <c r="D28" s="970" t="s">
        <v>588</v>
      </c>
      <c r="E28" s="962">
        <v>0</v>
      </c>
      <c r="F28" s="962">
        <v>1</v>
      </c>
      <c r="G28" s="962">
        <f t="shared" si="5"/>
        <v>0</v>
      </c>
      <c r="H28" s="962">
        <v>0</v>
      </c>
      <c r="I28" s="971">
        <v>1</v>
      </c>
      <c r="J28" s="962">
        <f t="shared" si="6"/>
        <v>0</v>
      </c>
      <c r="K28" s="958">
        <f t="shared" si="1"/>
        <v>0</v>
      </c>
      <c r="L28" s="966"/>
      <c r="M28" s="966"/>
      <c r="N28" s="968"/>
      <c r="O28" s="914"/>
    </row>
    <row r="29" spans="1:15" ht="25" x14ac:dyDescent="0.3">
      <c r="A29" s="300" t="s">
        <v>375</v>
      </c>
      <c r="B29" s="42"/>
      <c r="C29" s="879"/>
      <c r="D29" s="970" t="s">
        <v>589</v>
      </c>
      <c r="E29" s="962">
        <v>24</v>
      </c>
      <c r="F29" s="962">
        <v>4</v>
      </c>
      <c r="G29" s="962">
        <f t="shared" si="5"/>
        <v>96</v>
      </c>
      <c r="H29" s="971">
        <f>Num_FFD_Prgms_Full</f>
        <v>24</v>
      </c>
      <c r="I29" s="971">
        <v>4</v>
      </c>
      <c r="J29" s="965">
        <f t="shared" si="6"/>
        <v>96</v>
      </c>
      <c r="K29" s="958">
        <f t="shared" si="1"/>
        <v>0</v>
      </c>
      <c r="L29" s="966"/>
      <c r="M29" s="966"/>
      <c r="N29" s="968"/>
      <c r="O29" s="914"/>
    </row>
    <row r="30" spans="1:15" ht="129" customHeight="1" x14ac:dyDescent="0.3">
      <c r="A30" s="300" t="s">
        <v>375</v>
      </c>
      <c r="B30" s="42"/>
      <c r="C30" s="879"/>
      <c r="D30" s="970" t="s">
        <v>590</v>
      </c>
      <c r="E30" s="962">
        <f>10*24</f>
        <v>240</v>
      </c>
      <c r="F30" s="972">
        <v>0.25</v>
      </c>
      <c r="G30" s="962">
        <f t="shared" si="5"/>
        <v>60</v>
      </c>
      <c r="H30" s="971">
        <f>Num_FFD_Prgms_Full * 10</f>
        <v>240</v>
      </c>
      <c r="I30" s="972">
        <f>15/60</f>
        <v>0.25</v>
      </c>
      <c r="J30" s="965">
        <f t="shared" si="6"/>
        <v>60</v>
      </c>
      <c r="K30" s="958">
        <f t="shared" si="1"/>
        <v>0</v>
      </c>
      <c r="L30" s="966" t="s">
        <v>964</v>
      </c>
      <c r="M30" s="967" t="s">
        <v>662</v>
      </c>
      <c r="N30" s="968" t="s">
        <v>1119</v>
      </c>
      <c r="O30" s="914"/>
    </row>
    <row r="31" spans="1:15" ht="25" x14ac:dyDescent="0.3">
      <c r="A31" s="300" t="s">
        <v>375</v>
      </c>
      <c r="B31" s="42"/>
      <c r="C31" s="879"/>
      <c r="D31" s="970" t="s">
        <v>591</v>
      </c>
      <c r="E31" s="962">
        <f>10*24</f>
        <v>240</v>
      </c>
      <c r="F31" s="972">
        <v>0.25</v>
      </c>
      <c r="G31" s="962">
        <f t="shared" si="5"/>
        <v>60</v>
      </c>
      <c r="H31" s="971">
        <f>Num_FFD_Prgms_Full * 10</f>
        <v>240</v>
      </c>
      <c r="I31" s="972">
        <f>15/60</f>
        <v>0.25</v>
      </c>
      <c r="J31" s="965">
        <f t="shared" si="6"/>
        <v>60</v>
      </c>
      <c r="K31" s="958">
        <f t="shared" si="1"/>
        <v>0</v>
      </c>
      <c r="L31" s="966"/>
      <c r="M31" s="966"/>
      <c r="N31" s="968"/>
      <c r="O31" s="914"/>
    </row>
    <row r="32" spans="1:15" ht="25" x14ac:dyDescent="0.3">
      <c r="B32" s="42"/>
      <c r="C32" s="879"/>
      <c r="D32" s="970" t="s">
        <v>592</v>
      </c>
      <c r="E32" s="962">
        <v>0</v>
      </c>
      <c r="F32" s="962">
        <v>0.5</v>
      </c>
      <c r="G32" s="962">
        <f t="shared" si="5"/>
        <v>0</v>
      </c>
      <c r="H32" s="962">
        <v>0</v>
      </c>
      <c r="I32" s="971">
        <f>30/60</f>
        <v>0.5</v>
      </c>
      <c r="J32" s="962">
        <f t="shared" si="6"/>
        <v>0</v>
      </c>
      <c r="K32" s="958">
        <f t="shared" si="1"/>
        <v>0</v>
      </c>
      <c r="L32" s="966"/>
      <c r="M32" s="966"/>
      <c r="N32" s="968"/>
      <c r="O32" s="914"/>
    </row>
    <row r="33" spans="1:15" ht="25" x14ac:dyDescent="0.3">
      <c r="B33" s="42"/>
      <c r="C33" s="879"/>
      <c r="D33" s="970" t="s">
        <v>965</v>
      </c>
      <c r="E33" s="962">
        <v>0</v>
      </c>
      <c r="F33" s="962">
        <v>1</v>
      </c>
      <c r="G33" s="962">
        <f t="shared" si="5"/>
        <v>0</v>
      </c>
      <c r="H33" s="962">
        <v>0</v>
      </c>
      <c r="I33" s="971">
        <v>1</v>
      </c>
      <c r="J33" s="962">
        <f t="shared" si="6"/>
        <v>0</v>
      </c>
      <c r="K33" s="958">
        <f t="shared" si="1"/>
        <v>0</v>
      </c>
      <c r="L33" s="966"/>
      <c r="M33" s="966"/>
      <c r="N33" s="968"/>
      <c r="O33" s="914"/>
    </row>
    <row r="34" spans="1:15" ht="25" x14ac:dyDescent="0.3">
      <c r="B34" s="42"/>
      <c r="C34" s="879"/>
      <c r="D34" s="970" t="s">
        <v>593</v>
      </c>
      <c r="E34" s="962">
        <v>0</v>
      </c>
      <c r="F34" s="972">
        <v>0.25</v>
      </c>
      <c r="G34" s="962">
        <f t="shared" si="5"/>
        <v>0</v>
      </c>
      <c r="H34" s="962">
        <v>0</v>
      </c>
      <c r="I34" s="972">
        <f>15/60</f>
        <v>0.25</v>
      </c>
      <c r="J34" s="962">
        <f t="shared" si="6"/>
        <v>0</v>
      </c>
      <c r="K34" s="958">
        <f t="shared" si="1"/>
        <v>0</v>
      </c>
      <c r="L34" s="966"/>
      <c r="M34" s="966"/>
      <c r="N34" s="968"/>
      <c r="O34" s="914"/>
    </row>
    <row r="35" spans="1:15" ht="25" x14ac:dyDescent="0.3">
      <c r="B35" s="41"/>
      <c r="C35" s="879"/>
      <c r="D35" s="970" t="s">
        <v>594</v>
      </c>
      <c r="E35" s="973" t="s">
        <v>741</v>
      </c>
      <c r="F35" s="973"/>
      <c r="G35" s="973"/>
      <c r="H35" s="973" t="s">
        <v>741</v>
      </c>
      <c r="I35" s="973"/>
      <c r="J35" s="973"/>
      <c r="K35" s="958">
        <f t="shared" si="1"/>
        <v>0</v>
      </c>
      <c r="L35" s="966"/>
      <c r="M35" s="966"/>
      <c r="N35" s="968"/>
      <c r="O35" s="914"/>
    </row>
    <row r="36" spans="1:15" ht="25" x14ac:dyDescent="0.3">
      <c r="B36" s="41"/>
      <c r="C36" s="879"/>
      <c r="D36" s="970" t="s">
        <v>595</v>
      </c>
      <c r="E36" s="973" t="s">
        <v>741</v>
      </c>
      <c r="F36" s="973"/>
      <c r="G36" s="973"/>
      <c r="H36" s="973" t="s">
        <v>741</v>
      </c>
      <c r="I36" s="973"/>
      <c r="J36" s="973"/>
      <c r="K36" s="958">
        <f t="shared" si="1"/>
        <v>0</v>
      </c>
      <c r="L36" s="966"/>
      <c r="M36" s="966"/>
      <c r="N36" s="968"/>
      <c r="O36" s="914"/>
    </row>
    <row r="37" spans="1:15" ht="37.5" x14ac:dyDescent="0.3">
      <c r="B37" s="42"/>
      <c r="C37" s="879"/>
      <c r="D37" s="970" t="s">
        <v>596</v>
      </c>
      <c r="E37" s="962">
        <v>0</v>
      </c>
      <c r="F37" s="972">
        <v>0.25</v>
      </c>
      <c r="G37" s="962">
        <f t="shared" ref="G37" si="7">E37*F37</f>
        <v>0</v>
      </c>
      <c r="H37" s="962">
        <v>0</v>
      </c>
      <c r="I37" s="972">
        <f>15/60</f>
        <v>0.25</v>
      </c>
      <c r="J37" s="962">
        <f t="shared" ref="J37" si="8">I37*H37</f>
        <v>0</v>
      </c>
      <c r="K37" s="958">
        <f t="shared" si="1"/>
        <v>0</v>
      </c>
      <c r="L37" s="966"/>
      <c r="M37" s="966"/>
      <c r="N37" s="968"/>
      <c r="O37" s="914"/>
    </row>
    <row r="38" spans="1:15" ht="37.5" x14ac:dyDescent="0.3">
      <c r="B38" s="87" t="s">
        <v>847</v>
      </c>
      <c r="C38" s="879"/>
      <c r="D38" s="970" t="s">
        <v>1107</v>
      </c>
      <c r="E38" s="973" t="s">
        <v>744</v>
      </c>
      <c r="F38" s="973"/>
      <c r="G38" s="973"/>
      <c r="H38" s="973" t="s">
        <v>744</v>
      </c>
      <c r="I38" s="973"/>
      <c r="J38" s="973"/>
      <c r="K38" s="958">
        <f t="shared" si="1"/>
        <v>0</v>
      </c>
      <c r="L38" s="966"/>
      <c r="M38" s="966"/>
      <c r="N38" s="968"/>
      <c r="O38" s="914"/>
    </row>
    <row r="39" spans="1:15" ht="37.5" x14ac:dyDescent="0.3">
      <c r="B39" s="87" t="s">
        <v>847</v>
      </c>
      <c r="C39" s="879"/>
      <c r="D39" s="970" t="s">
        <v>966</v>
      </c>
      <c r="E39" s="962">
        <v>0</v>
      </c>
      <c r="F39" s="977">
        <v>0.25</v>
      </c>
      <c r="G39" s="962">
        <f t="shared" ref="G39:G42" si="9">E39*F39</f>
        <v>0</v>
      </c>
      <c r="H39" s="962">
        <v>0</v>
      </c>
      <c r="I39" s="972">
        <f>15/60</f>
        <v>0.25</v>
      </c>
      <c r="J39" s="962">
        <f t="shared" ref="J39:J42" si="10">I39*H39</f>
        <v>0</v>
      </c>
      <c r="K39" s="958">
        <f t="shared" si="1"/>
        <v>0</v>
      </c>
      <c r="L39" s="966"/>
      <c r="M39" s="966"/>
      <c r="N39" s="968"/>
      <c r="O39" s="914"/>
    </row>
    <row r="40" spans="1:15" ht="37.5" x14ac:dyDescent="0.3">
      <c r="B40" s="87" t="s">
        <v>847</v>
      </c>
      <c r="C40" s="879"/>
      <c r="D40" s="970" t="s">
        <v>967</v>
      </c>
      <c r="E40" s="962">
        <v>0</v>
      </c>
      <c r="F40" s="977">
        <v>0.25</v>
      </c>
      <c r="G40" s="962">
        <f t="shared" si="9"/>
        <v>0</v>
      </c>
      <c r="H40" s="962">
        <v>0</v>
      </c>
      <c r="I40" s="972">
        <f>15/60</f>
        <v>0.25</v>
      </c>
      <c r="J40" s="962">
        <f t="shared" si="10"/>
        <v>0</v>
      </c>
      <c r="K40" s="958">
        <f t="shared" si="1"/>
        <v>0</v>
      </c>
      <c r="L40" s="966"/>
      <c r="M40" s="966"/>
      <c r="N40" s="968"/>
      <c r="O40" s="914"/>
    </row>
    <row r="41" spans="1:15" ht="37.5" x14ac:dyDescent="0.3">
      <c r="B41" s="87" t="s">
        <v>847</v>
      </c>
      <c r="C41" s="879"/>
      <c r="D41" s="970" t="s">
        <v>968</v>
      </c>
      <c r="E41" s="962">
        <v>0</v>
      </c>
      <c r="F41" s="977">
        <v>0.25</v>
      </c>
      <c r="G41" s="962">
        <f t="shared" si="9"/>
        <v>0</v>
      </c>
      <c r="H41" s="962">
        <v>0</v>
      </c>
      <c r="I41" s="972">
        <f>15/60</f>
        <v>0.25</v>
      </c>
      <c r="J41" s="962">
        <f t="shared" si="10"/>
        <v>0</v>
      </c>
      <c r="K41" s="958">
        <f t="shared" si="1"/>
        <v>0</v>
      </c>
      <c r="L41" s="966"/>
      <c r="M41" s="966"/>
      <c r="N41" s="968"/>
      <c r="O41" s="914"/>
    </row>
    <row r="42" spans="1:15" ht="50" x14ac:dyDescent="0.3">
      <c r="B42" s="87" t="s">
        <v>847</v>
      </c>
      <c r="C42" s="879"/>
      <c r="D42" s="970" t="s">
        <v>969</v>
      </c>
      <c r="E42" s="962">
        <v>0</v>
      </c>
      <c r="F42" s="977">
        <v>0.25</v>
      </c>
      <c r="G42" s="962">
        <f t="shared" si="9"/>
        <v>0</v>
      </c>
      <c r="H42" s="962">
        <v>0</v>
      </c>
      <c r="I42" s="972">
        <f>15/60</f>
        <v>0.25</v>
      </c>
      <c r="J42" s="962">
        <f t="shared" si="10"/>
        <v>0</v>
      </c>
      <c r="K42" s="958">
        <f t="shared" si="1"/>
        <v>0</v>
      </c>
      <c r="L42" s="966"/>
      <c r="M42" s="966"/>
      <c r="N42" s="968"/>
      <c r="O42" s="914"/>
    </row>
    <row r="43" spans="1:15" ht="37.5" x14ac:dyDescent="0.3">
      <c r="B43" s="87" t="s">
        <v>847</v>
      </c>
      <c r="C43" s="879"/>
      <c r="D43" s="970" t="s">
        <v>970</v>
      </c>
      <c r="E43" s="973" t="s">
        <v>707</v>
      </c>
      <c r="F43" s="973"/>
      <c r="G43" s="973"/>
      <c r="H43" s="973" t="s">
        <v>707</v>
      </c>
      <c r="I43" s="973"/>
      <c r="J43" s="973"/>
      <c r="K43" s="958">
        <f t="shared" si="1"/>
        <v>0</v>
      </c>
      <c r="L43" s="966"/>
      <c r="M43" s="966"/>
      <c r="N43" s="968"/>
      <c r="O43" s="914"/>
    </row>
    <row r="44" spans="1:15" ht="37.5" x14ac:dyDescent="0.3">
      <c r="B44" s="87" t="s">
        <v>847</v>
      </c>
      <c r="C44" s="879"/>
      <c r="D44" s="970" t="s">
        <v>971</v>
      </c>
      <c r="E44" s="962">
        <v>0</v>
      </c>
      <c r="F44" s="977">
        <v>0.25</v>
      </c>
      <c r="G44" s="962">
        <f t="shared" ref="G44" si="11">E44*F44</f>
        <v>0</v>
      </c>
      <c r="H44" s="962">
        <v>0</v>
      </c>
      <c r="I44" s="972">
        <f>15/60</f>
        <v>0.25</v>
      </c>
      <c r="J44" s="962">
        <f t="shared" ref="J44" si="12">I44*H44</f>
        <v>0</v>
      </c>
      <c r="K44" s="958">
        <f t="shared" si="1"/>
        <v>0</v>
      </c>
      <c r="L44" s="966"/>
      <c r="M44" s="966"/>
      <c r="N44" s="968"/>
      <c r="O44" s="914"/>
    </row>
    <row r="45" spans="1:15" ht="37.5" x14ac:dyDescent="0.3">
      <c r="B45" s="87" t="s">
        <v>847</v>
      </c>
      <c r="C45" s="879"/>
      <c r="D45" s="970" t="s">
        <v>972</v>
      </c>
      <c r="E45" s="973" t="s">
        <v>743</v>
      </c>
      <c r="F45" s="973"/>
      <c r="G45" s="973"/>
      <c r="H45" s="978" t="s">
        <v>743</v>
      </c>
      <c r="I45" s="979"/>
      <c r="J45" s="980"/>
      <c r="K45" s="958">
        <f t="shared" si="1"/>
        <v>0</v>
      </c>
      <c r="L45" s="966"/>
      <c r="M45" s="966"/>
      <c r="N45" s="968"/>
      <c r="O45" s="914"/>
    </row>
    <row r="46" spans="1:15" ht="30" customHeight="1" x14ac:dyDescent="0.3">
      <c r="B46" s="87" t="s">
        <v>847</v>
      </c>
      <c r="C46" s="879"/>
      <c r="D46" s="970" t="s">
        <v>973</v>
      </c>
      <c r="E46" s="962">
        <v>0</v>
      </c>
      <c r="F46" s="977">
        <v>0.25</v>
      </c>
      <c r="G46" s="962">
        <f t="shared" ref="G46:G49" si="13">E46*F46</f>
        <v>0</v>
      </c>
      <c r="H46" s="962">
        <v>0</v>
      </c>
      <c r="I46" s="972">
        <f>15/60</f>
        <v>0.25</v>
      </c>
      <c r="J46" s="962">
        <f t="shared" ref="J46:J49" si="14">I46*H46</f>
        <v>0</v>
      </c>
      <c r="K46" s="958">
        <f t="shared" si="1"/>
        <v>0</v>
      </c>
      <c r="L46" s="966"/>
      <c r="M46" s="966"/>
      <c r="N46" s="968"/>
      <c r="O46" s="914"/>
    </row>
    <row r="47" spans="1:15" ht="29.25" customHeight="1" x14ac:dyDescent="0.3">
      <c r="A47" s="300" t="s">
        <v>375</v>
      </c>
      <c r="B47" s="87" t="s">
        <v>847</v>
      </c>
      <c r="C47" s="879"/>
      <c r="D47" s="970" t="s">
        <v>974</v>
      </c>
      <c r="E47" s="962">
        <f>10*24</f>
        <v>240</v>
      </c>
      <c r="F47" s="977">
        <v>0.25</v>
      </c>
      <c r="G47" s="962">
        <f t="shared" si="13"/>
        <v>60</v>
      </c>
      <c r="H47" s="971">
        <f>Num_FFD_Prgms_Full * 10</f>
        <v>240</v>
      </c>
      <c r="I47" s="972">
        <f>15/60</f>
        <v>0.25</v>
      </c>
      <c r="J47" s="965">
        <f t="shared" si="14"/>
        <v>60</v>
      </c>
      <c r="K47" s="958">
        <f t="shared" si="1"/>
        <v>0</v>
      </c>
      <c r="L47" s="966" t="s">
        <v>975</v>
      </c>
      <c r="M47" s="967" t="s">
        <v>663</v>
      </c>
      <c r="N47" s="968"/>
      <c r="O47" s="914"/>
    </row>
    <row r="48" spans="1:15" ht="42.65" customHeight="1" x14ac:dyDescent="0.3">
      <c r="A48" s="300" t="s">
        <v>375</v>
      </c>
      <c r="B48" s="42"/>
      <c r="C48" s="879"/>
      <c r="D48" s="970" t="s">
        <v>597</v>
      </c>
      <c r="E48" s="962">
        <v>12</v>
      </c>
      <c r="F48" s="962">
        <v>2</v>
      </c>
      <c r="G48" s="962">
        <f t="shared" si="13"/>
        <v>24</v>
      </c>
      <c r="H48" s="971">
        <f>Num_FFD_Prgms_Full / 2</f>
        <v>12</v>
      </c>
      <c r="I48" s="971">
        <v>2</v>
      </c>
      <c r="J48" s="965">
        <f t="shared" si="14"/>
        <v>24</v>
      </c>
      <c r="K48" s="958">
        <f t="shared" si="1"/>
        <v>0</v>
      </c>
      <c r="L48" s="966"/>
      <c r="M48" s="966"/>
      <c r="N48" s="968"/>
      <c r="O48" s="914"/>
    </row>
    <row r="49" spans="1:15" ht="50" x14ac:dyDescent="0.3">
      <c r="B49" s="87" t="s">
        <v>847</v>
      </c>
      <c r="C49" s="879"/>
      <c r="D49" s="970" t="s">
        <v>976</v>
      </c>
      <c r="E49" s="962">
        <v>0</v>
      </c>
      <c r="F49" s="962">
        <v>1</v>
      </c>
      <c r="G49" s="962">
        <f t="shared" si="13"/>
        <v>0</v>
      </c>
      <c r="H49" s="962">
        <v>0</v>
      </c>
      <c r="I49" s="971">
        <v>1</v>
      </c>
      <c r="J49" s="962">
        <f t="shared" si="14"/>
        <v>0</v>
      </c>
      <c r="K49" s="958">
        <f t="shared" si="1"/>
        <v>0</v>
      </c>
      <c r="L49" s="966"/>
      <c r="M49" s="966"/>
      <c r="N49" s="968"/>
      <c r="O49" s="914"/>
    </row>
    <row r="50" spans="1:15" ht="50" x14ac:dyDescent="0.3">
      <c r="B50" s="49"/>
      <c r="C50" s="879"/>
      <c r="D50" s="970" t="s">
        <v>977</v>
      </c>
      <c r="E50" s="973" t="s">
        <v>742</v>
      </c>
      <c r="F50" s="973"/>
      <c r="G50" s="973"/>
      <c r="H50" s="973" t="s">
        <v>742</v>
      </c>
      <c r="I50" s="973"/>
      <c r="J50" s="973"/>
      <c r="K50" s="958">
        <f t="shared" si="1"/>
        <v>0</v>
      </c>
      <c r="L50" s="966"/>
      <c r="M50" s="966"/>
      <c r="N50" s="968"/>
      <c r="O50" s="914"/>
    </row>
    <row r="51" spans="1:15" ht="25" x14ac:dyDescent="0.3">
      <c r="B51" s="163"/>
      <c r="C51" s="879"/>
      <c r="D51" s="970" t="s">
        <v>730</v>
      </c>
      <c r="E51" s="962">
        <v>2</v>
      </c>
      <c r="F51" s="962">
        <v>0.5</v>
      </c>
      <c r="G51" s="962">
        <f t="shared" ref="G51" si="15">E51*F51</f>
        <v>1</v>
      </c>
      <c r="H51" s="971">
        <v>2</v>
      </c>
      <c r="I51" s="971">
        <f>30/60</f>
        <v>0.5</v>
      </c>
      <c r="J51" s="965">
        <f t="shared" ref="J51:J52" si="16">I51*H51</f>
        <v>1</v>
      </c>
      <c r="K51" s="958">
        <f t="shared" si="1"/>
        <v>0</v>
      </c>
      <c r="L51" s="966"/>
      <c r="M51" s="966"/>
      <c r="N51" s="968"/>
      <c r="O51" s="914"/>
    </row>
    <row r="52" spans="1:15" ht="141" customHeight="1" x14ac:dyDescent="0.3">
      <c r="B52" s="87" t="s">
        <v>847</v>
      </c>
      <c r="C52" s="879"/>
      <c r="D52" s="970" t="s">
        <v>978</v>
      </c>
      <c r="E52" s="973" t="s">
        <v>598</v>
      </c>
      <c r="F52" s="973"/>
      <c r="G52" s="973"/>
      <c r="H52" s="962">
        <f>Num_FFD_Prgms_Full</f>
        <v>24</v>
      </c>
      <c r="I52" s="971">
        <v>2</v>
      </c>
      <c r="J52" s="962">
        <f t="shared" si="16"/>
        <v>48</v>
      </c>
      <c r="K52" s="958">
        <f t="shared" si="1"/>
        <v>48</v>
      </c>
      <c r="L52" s="966"/>
      <c r="M52" s="966"/>
      <c r="N52" s="968" t="s">
        <v>1120</v>
      </c>
      <c r="O52" s="914"/>
    </row>
    <row r="53" spans="1:15" ht="37.5" x14ac:dyDescent="0.3">
      <c r="B53" s="163"/>
      <c r="C53" s="879"/>
      <c r="D53" s="970" t="s">
        <v>599</v>
      </c>
      <c r="E53" s="973" t="s">
        <v>598</v>
      </c>
      <c r="F53" s="973"/>
      <c r="G53" s="973"/>
      <c r="H53" s="973" t="s">
        <v>598</v>
      </c>
      <c r="I53" s="973"/>
      <c r="J53" s="973"/>
      <c r="K53" s="958">
        <f t="shared" si="1"/>
        <v>0</v>
      </c>
      <c r="L53" s="966"/>
      <c r="M53" s="966"/>
      <c r="N53" s="968"/>
      <c r="O53" s="914"/>
    </row>
    <row r="54" spans="1:15" ht="37.5" x14ac:dyDescent="0.3">
      <c r="B54" s="43"/>
      <c r="C54" s="879"/>
      <c r="D54" s="970" t="s">
        <v>600</v>
      </c>
      <c r="E54" s="962">
        <v>0</v>
      </c>
      <c r="F54" s="962">
        <v>1</v>
      </c>
      <c r="G54" s="962">
        <f t="shared" ref="G54" si="17">E54*F54</f>
        <v>0</v>
      </c>
      <c r="H54" s="962">
        <v>0</v>
      </c>
      <c r="I54" s="981">
        <v>1</v>
      </c>
      <c r="J54" s="962">
        <f>H54*I54</f>
        <v>0</v>
      </c>
      <c r="K54" s="958">
        <f t="shared" si="1"/>
        <v>0</v>
      </c>
      <c r="L54" s="966"/>
      <c r="M54" s="966"/>
      <c r="N54" s="968"/>
      <c r="O54" s="914"/>
    </row>
    <row r="55" spans="1:15" ht="37.5" x14ac:dyDescent="0.3">
      <c r="B55" s="87" t="s">
        <v>847</v>
      </c>
      <c r="C55" s="879"/>
      <c r="D55" s="970" t="s">
        <v>979</v>
      </c>
      <c r="E55" s="973" t="s">
        <v>741</v>
      </c>
      <c r="F55" s="973"/>
      <c r="G55" s="973"/>
      <c r="H55" s="973" t="s">
        <v>741</v>
      </c>
      <c r="I55" s="973"/>
      <c r="J55" s="973"/>
      <c r="K55" s="958">
        <f t="shared" si="1"/>
        <v>0</v>
      </c>
      <c r="L55" s="966"/>
      <c r="M55" s="966"/>
      <c r="N55" s="968"/>
      <c r="O55" s="914"/>
    </row>
    <row r="56" spans="1:15" ht="37.5" x14ac:dyDescent="0.3">
      <c r="B56" s="87" t="s">
        <v>847</v>
      </c>
      <c r="C56" s="879"/>
      <c r="D56" s="970" t="s">
        <v>980</v>
      </c>
      <c r="E56" s="973" t="s">
        <v>742</v>
      </c>
      <c r="F56" s="973"/>
      <c r="G56" s="973"/>
      <c r="H56" s="973" t="s">
        <v>742</v>
      </c>
      <c r="I56" s="973"/>
      <c r="J56" s="973"/>
      <c r="K56" s="958">
        <f t="shared" ref="K56:K97" si="18">J56-G56</f>
        <v>0</v>
      </c>
      <c r="L56" s="966"/>
      <c r="M56" s="966"/>
      <c r="N56" s="968"/>
      <c r="O56" s="914"/>
    </row>
    <row r="57" spans="1:15" ht="76.5" customHeight="1" x14ac:dyDescent="0.3">
      <c r="A57" s="300" t="s">
        <v>373</v>
      </c>
      <c r="B57" s="165"/>
      <c r="C57" s="879"/>
      <c r="D57" s="970" t="s">
        <v>926</v>
      </c>
      <c r="E57" s="962">
        <v>28</v>
      </c>
      <c r="F57" s="962">
        <v>1</v>
      </c>
      <c r="G57" s="962">
        <f t="shared" ref="G57:G58" si="19">E57*F57</f>
        <v>28</v>
      </c>
      <c r="H57" s="982">
        <f>ROUNDUP('Data '!C44 * (0.05),0)</f>
        <v>37</v>
      </c>
      <c r="I57" s="981">
        <v>1</v>
      </c>
      <c r="J57" s="983">
        <f>H57*I57</f>
        <v>37</v>
      </c>
      <c r="K57" s="958">
        <f t="shared" si="18"/>
        <v>9</v>
      </c>
      <c r="L57" s="966"/>
      <c r="M57" s="966"/>
      <c r="N57" s="968" t="s">
        <v>1115</v>
      </c>
      <c r="O57" s="914"/>
    </row>
    <row r="58" spans="1:15" ht="72" customHeight="1" x14ac:dyDescent="0.3">
      <c r="A58" s="300" t="s">
        <v>373</v>
      </c>
      <c r="B58" s="165"/>
      <c r="C58" s="879"/>
      <c r="D58" s="970" t="s">
        <v>981</v>
      </c>
      <c r="E58" s="962">
        <v>28</v>
      </c>
      <c r="F58" s="962">
        <v>1</v>
      </c>
      <c r="G58" s="962">
        <f t="shared" si="19"/>
        <v>28</v>
      </c>
      <c r="H58" s="982">
        <f>ROUNDUP('Data '!C44 * (0.05),0)</f>
        <v>37</v>
      </c>
      <c r="I58" s="981">
        <v>1</v>
      </c>
      <c r="J58" s="983">
        <f>H58*I58</f>
        <v>37</v>
      </c>
      <c r="K58" s="958">
        <f t="shared" si="18"/>
        <v>9</v>
      </c>
      <c r="L58" s="966"/>
      <c r="M58" s="966"/>
      <c r="N58" s="968" t="s">
        <v>1122</v>
      </c>
      <c r="O58" s="914"/>
    </row>
    <row r="59" spans="1:15" ht="33" customHeight="1" x14ac:dyDescent="0.3">
      <c r="B59" s="165"/>
      <c r="C59" s="879"/>
      <c r="D59" s="970" t="s">
        <v>892</v>
      </c>
      <c r="E59" s="973" t="s">
        <v>739</v>
      </c>
      <c r="F59" s="973"/>
      <c r="G59" s="973"/>
      <c r="H59" s="973" t="s">
        <v>739</v>
      </c>
      <c r="I59" s="973"/>
      <c r="J59" s="973"/>
      <c r="K59" s="958">
        <f t="shared" si="18"/>
        <v>0</v>
      </c>
      <c r="L59" s="966"/>
      <c r="M59" s="966"/>
      <c r="N59" s="968"/>
      <c r="O59" s="914"/>
    </row>
    <row r="60" spans="1:15" ht="37.5" x14ac:dyDescent="0.3">
      <c r="B60" s="41"/>
      <c r="C60" s="879"/>
      <c r="D60" s="970" t="s">
        <v>732</v>
      </c>
      <c r="E60" s="973" t="s">
        <v>740</v>
      </c>
      <c r="F60" s="973"/>
      <c r="G60" s="973"/>
      <c r="H60" s="973" t="s">
        <v>740</v>
      </c>
      <c r="I60" s="973"/>
      <c r="J60" s="973"/>
      <c r="K60" s="958">
        <f t="shared" si="18"/>
        <v>0</v>
      </c>
      <c r="L60" s="966"/>
      <c r="M60" s="966"/>
      <c r="N60" s="968"/>
      <c r="O60" s="914"/>
    </row>
    <row r="61" spans="1:15" ht="25" x14ac:dyDescent="0.3">
      <c r="B61" s="42"/>
      <c r="C61" s="879"/>
      <c r="D61" s="970" t="s">
        <v>601</v>
      </c>
      <c r="E61" s="973" t="s">
        <v>598</v>
      </c>
      <c r="F61" s="973"/>
      <c r="G61" s="973"/>
      <c r="H61" s="973" t="s">
        <v>598</v>
      </c>
      <c r="I61" s="973"/>
      <c r="J61" s="973"/>
      <c r="K61" s="958">
        <f t="shared" si="18"/>
        <v>0</v>
      </c>
      <c r="L61" s="966"/>
      <c r="M61" s="966"/>
      <c r="N61" s="968"/>
      <c r="O61" s="914"/>
    </row>
    <row r="62" spans="1:15" ht="50" x14ac:dyDescent="0.3">
      <c r="B62" s="42"/>
      <c r="C62" s="879"/>
      <c r="D62" s="970" t="s">
        <v>602</v>
      </c>
      <c r="E62" s="973" t="s">
        <v>598</v>
      </c>
      <c r="F62" s="973"/>
      <c r="G62" s="973"/>
      <c r="H62" s="973" t="s">
        <v>598</v>
      </c>
      <c r="I62" s="973"/>
      <c r="J62" s="973"/>
      <c r="K62" s="958">
        <f t="shared" si="18"/>
        <v>0</v>
      </c>
      <c r="L62" s="966"/>
      <c r="M62" s="966"/>
      <c r="N62" s="968"/>
      <c r="O62" s="914"/>
    </row>
    <row r="63" spans="1:15" ht="87.5" x14ac:dyDescent="0.3">
      <c r="B63" s="165"/>
      <c r="C63" s="879"/>
      <c r="D63" s="970" t="s">
        <v>603</v>
      </c>
      <c r="E63" s="962">
        <v>0</v>
      </c>
      <c r="F63" s="971">
        <v>8</v>
      </c>
      <c r="G63" s="962">
        <f t="shared" ref="G63" si="20">E63*F63</f>
        <v>0</v>
      </c>
      <c r="H63" s="962">
        <v>0</v>
      </c>
      <c r="I63" s="971">
        <v>8</v>
      </c>
      <c r="J63" s="962">
        <f t="shared" ref="J63" si="21">I63*H63</f>
        <v>0</v>
      </c>
      <c r="K63" s="958">
        <f t="shared" si="18"/>
        <v>0</v>
      </c>
      <c r="L63" s="966"/>
      <c r="M63" s="966"/>
      <c r="N63" s="968"/>
      <c r="O63" s="914"/>
    </row>
    <row r="64" spans="1:15" ht="25" x14ac:dyDescent="0.3">
      <c r="B64" s="42"/>
      <c r="C64" s="879"/>
      <c r="D64" s="970" t="s">
        <v>604</v>
      </c>
      <c r="E64" s="973" t="s">
        <v>598</v>
      </c>
      <c r="F64" s="973"/>
      <c r="G64" s="973"/>
      <c r="H64" s="973" t="s">
        <v>598</v>
      </c>
      <c r="I64" s="973"/>
      <c r="J64" s="973"/>
      <c r="K64" s="958">
        <f t="shared" si="18"/>
        <v>0</v>
      </c>
      <c r="L64" s="966"/>
      <c r="M64" s="966"/>
      <c r="N64" s="968"/>
      <c r="O64" s="914"/>
    </row>
    <row r="65" spans="1:16" ht="214.5" customHeight="1" x14ac:dyDescent="0.3">
      <c r="B65" s="165"/>
      <c r="C65" s="879"/>
      <c r="D65" s="970" t="s">
        <v>1157</v>
      </c>
      <c r="E65" s="971">
        <v>1</v>
      </c>
      <c r="F65" s="971">
        <v>8</v>
      </c>
      <c r="G65" s="962">
        <f t="shared" ref="G65:G66" si="22">E65*F65</f>
        <v>8</v>
      </c>
      <c r="H65" s="971">
        <f>SUM('Data '!C10,'Data '!C12,'Data '!C13,'Data '!C14)</f>
        <v>60</v>
      </c>
      <c r="I65" s="971">
        <v>1</v>
      </c>
      <c r="J65" s="965">
        <f t="shared" ref="J65:J66" si="23">I65*H65</f>
        <v>60</v>
      </c>
      <c r="K65" s="958">
        <f t="shared" si="18"/>
        <v>52</v>
      </c>
      <c r="L65" s="966" t="s">
        <v>1108</v>
      </c>
      <c r="M65" s="967" t="s">
        <v>664</v>
      </c>
      <c r="N65" s="968" t="s">
        <v>1158</v>
      </c>
      <c r="O65" s="912"/>
    </row>
    <row r="66" spans="1:16" ht="25" x14ac:dyDescent="0.3">
      <c r="B66" s="165"/>
      <c r="C66" s="879"/>
      <c r="D66" s="970" t="s">
        <v>731</v>
      </c>
      <c r="E66" s="971">
        <v>1</v>
      </c>
      <c r="F66" s="971">
        <v>8</v>
      </c>
      <c r="G66" s="962">
        <f t="shared" si="22"/>
        <v>8</v>
      </c>
      <c r="H66" s="971">
        <f>SUM('Data '!C10,'Data '!C12,'Data '!C13,'Data '!C14)</f>
        <v>60</v>
      </c>
      <c r="I66" s="971">
        <v>1</v>
      </c>
      <c r="J66" s="965">
        <f t="shared" si="23"/>
        <v>60</v>
      </c>
      <c r="K66" s="958">
        <f t="shared" si="18"/>
        <v>52</v>
      </c>
      <c r="L66" s="966"/>
      <c r="M66" s="966"/>
      <c r="N66" s="968"/>
      <c r="O66" s="914"/>
    </row>
    <row r="67" spans="1:16" ht="25" x14ac:dyDescent="0.3">
      <c r="B67" s="163"/>
      <c r="C67" s="879"/>
      <c r="D67" s="970" t="s">
        <v>930</v>
      </c>
      <c r="E67" s="973" t="s">
        <v>715</v>
      </c>
      <c r="F67" s="973"/>
      <c r="G67" s="973"/>
      <c r="H67" s="973" t="s">
        <v>715</v>
      </c>
      <c r="I67" s="973"/>
      <c r="J67" s="973"/>
      <c r="K67" s="958">
        <f t="shared" si="18"/>
        <v>0</v>
      </c>
      <c r="L67" s="966"/>
      <c r="M67" s="966"/>
      <c r="N67" s="968"/>
      <c r="O67" s="914"/>
    </row>
    <row r="68" spans="1:16" ht="137.4" customHeight="1" x14ac:dyDescent="0.3">
      <c r="A68" s="300" t="s">
        <v>373</v>
      </c>
      <c r="B68" s="165"/>
      <c r="C68" s="879"/>
      <c r="D68" s="970" t="s">
        <v>982</v>
      </c>
      <c r="E68" s="971">
        <v>559</v>
      </c>
      <c r="F68" s="972">
        <v>0.25</v>
      </c>
      <c r="G68" s="962">
        <f>E68*F68</f>
        <v>139.75</v>
      </c>
      <c r="H68" s="971">
        <f>ROUNDUP('Data '!C44,0)</f>
        <v>738</v>
      </c>
      <c r="I68" s="972">
        <f>15/60</f>
        <v>0.25</v>
      </c>
      <c r="J68" s="965">
        <f t="shared" ref="J68" si="24">I68*H68</f>
        <v>184.5</v>
      </c>
      <c r="K68" s="958">
        <f t="shared" si="18"/>
        <v>44.75</v>
      </c>
      <c r="L68" s="966" t="s">
        <v>1109</v>
      </c>
      <c r="M68" s="967" t="s">
        <v>664</v>
      </c>
      <c r="N68" s="968" t="s">
        <v>1141</v>
      </c>
      <c r="O68" s="914"/>
    </row>
    <row r="69" spans="1:16" ht="25" x14ac:dyDescent="0.3">
      <c r="B69" s="41"/>
      <c r="C69" s="879"/>
      <c r="D69" s="970" t="s">
        <v>931</v>
      </c>
      <c r="E69" s="973" t="s">
        <v>715</v>
      </c>
      <c r="F69" s="973"/>
      <c r="G69" s="973"/>
      <c r="H69" s="973" t="s">
        <v>715</v>
      </c>
      <c r="I69" s="973"/>
      <c r="J69" s="973"/>
      <c r="K69" s="958">
        <f t="shared" si="18"/>
        <v>0</v>
      </c>
      <c r="L69" s="966"/>
      <c r="M69" s="966"/>
      <c r="N69" s="968"/>
      <c r="O69" s="914"/>
    </row>
    <row r="70" spans="1:16" ht="25" x14ac:dyDescent="0.3">
      <c r="B70" s="41"/>
      <c r="C70" s="879"/>
      <c r="D70" s="984" t="s">
        <v>932</v>
      </c>
      <c r="E70" s="973" t="s">
        <v>715</v>
      </c>
      <c r="F70" s="973"/>
      <c r="G70" s="973"/>
      <c r="H70" s="973" t="s">
        <v>715</v>
      </c>
      <c r="I70" s="973"/>
      <c r="J70" s="973"/>
      <c r="K70" s="958">
        <f t="shared" si="18"/>
        <v>0</v>
      </c>
      <c r="L70" s="966"/>
      <c r="M70" s="966"/>
      <c r="N70" s="968"/>
      <c r="O70" s="914"/>
    </row>
    <row r="71" spans="1:16" ht="37.5" x14ac:dyDescent="0.3">
      <c r="B71" s="164"/>
      <c r="C71" s="879"/>
      <c r="D71" s="970" t="s">
        <v>605</v>
      </c>
      <c r="E71" s="965">
        <v>10</v>
      </c>
      <c r="F71" s="965">
        <v>0.5</v>
      </c>
      <c r="G71" s="962">
        <f t="shared" ref="G71" si="25">E71*F71</f>
        <v>5</v>
      </c>
      <c r="H71" s="965">
        <v>10</v>
      </c>
      <c r="I71" s="971">
        <f>30/60</f>
        <v>0.5</v>
      </c>
      <c r="J71" s="965">
        <f t="shared" ref="J71" si="26">H71*I71</f>
        <v>5</v>
      </c>
      <c r="K71" s="958">
        <f t="shared" si="18"/>
        <v>0</v>
      </c>
      <c r="L71" s="966"/>
      <c r="M71" s="966"/>
      <c r="N71" s="968"/>
      <c r="O71" s="914"/>
    </row>
    <row r="72" spans="1:16" ht="37.5" x14ac:dyDescent="0.3">
      <c r="B72" s="87" t="s">
        <v>847</v>
      </c>
      <c r="C72" s="879"/>
      <c r="D72" s="970" t="s">
        <v>983</v>
      </c>
      <c r="E72" s="973" t="s">
        <v>703</v>
      </c>
      <c r="F72" s="973"/>
      <c r="G72" s="973"/>
      <c r="H72" s="973" t="s">
        <v>703</v>
      </c>
      <c r="I72" s="973"/>
      <c r="J72" s="973"/>
      <c r="K72" s="958">
        <f t="shared" si="18"/>
        <v>0</v>
      </c>
      <c r="L72" s="966"/>
      <c r="M72" s="966"/>
      <c r="N72" s="968"/>
      <c r="O72" s="914"/>
    </row>
    <row r="73" spans="1:16" ht="50" x14ac:dyDescent="0.3">
      <c r="B73" s="87" t="s">
        <v>847</v>
      </c>
      <c r="C73" s="879"/>
      <c r="D73" s="970" t="s">
        <v>984</v>
      </c>
      <c r="E73" s="973" t="s">
        <v>715</v>
      </c>
      <c r="F73" s="973"/>
      <c r="G73" s="973"/>
      <c r="H73" s="973" t="s">
        <v>715</v>
      </c>
      <c r="I73" s="973"/>
      <c r="J73" s="973"/>
      <c r="K73" s="958">
        <f t="shared" si="18"/>
        <v>0</v>
      </c>
      <c r="L73" s="966"/>
      <c r="M73" s="966"/>
      <c r="N73" s="968"/>
      <c r="O73" s="914"/>
    </row>
    <row r="74" spans="1:16" ht="28.5" customHeight="1" x14ac:dyDescent="0.3">
      <c r="A74" s="300" t="s">
        <v>373</v>
      </c>
      <c r="B74" s="49"/>
      <c r="C74" s="879"/>
      <c r="D74" s="970" t="s">
        <v>893</v>
      </c>
      <c r="E74" s="971">
        <v>60</v>
      </c>
      <c r="F74" s="971">
        <v>2</v>
      </c>
      <c r="G74" s="962">
        <f t="shared" ref="G74:G77" si="27">E74*F74</f>
        <v>120</v>
      </c>
      <c r="H74" s="971">
        <f>(Num_Sites_Reactors_Operating) + SUM('Data '!$C$12,'Data '!$C$13,'Data '!$C$14)</f>
        <v>60</v>
      </c>
      <c r="I74" s="971">
        <v>2</v>
      </c>
      <c r="J74" s="965">
        <f t="shared" ref="J74" si="28">I74*H74</f>
        <v>120</v>
      </c>
      <c r="K74" s="958">
        <f t="shared" si="18"/>
        <v>0</v>
      </c>
      <c r="L74" s="966"/>
      <c r="M74" s="966"/>
      <c r="N74" s="968"/>
      <c r="O74" s="949"/>
    </row>
    <row r="75" spans="1:16" ht="219.75" customHeight="1" x14ac:dyDescent="0.3">
      <c r="A75" s="300" t="s">
        <v>373</v>
      </c>
      <c r="B75" s="165" t="s">
        <v>927</v>
      </c>
      <c r="C75" s="879"/>
      <c r="D75" s="970" t="s">
        <v>985</v>
      </c>
      <c r="E75" s="985">
        <v>559</v>
      </c>
      <c r="F75" s="971">
        <v>0.5</v>
      </c>
      <c r="G75" s="962">
        <f t="shared" si="27"/>
        <v>279.5</v>
      </c>
      <c r="H75" s="985">
        <f>ROUNDUP('Data '!C44,0)</f>
        <v>738</v>
      </c>
      <c r="I75" s="972">
        <f>15/60</f>
        <v>0.25</v>
      </c>
      <c r="J75" s="965">
        <f>H75*I75</f>
        <v>184.5</v>
      </c>
      <c r="K75" s="958">
        <f t="shared" si="18"/>
        <v>-95</v>
      </c>
      <c r="L75" s="966" t="s">
        <v>986</v>
      </c>
      <c r="M75" s="967" t="s">
        <v>665</v>
      </c>
      <c r="N75" s="968" t="s">
        <v>1123</v>
      </c>
      <c r="O75" s="950"/>
      <c r="P75" s="626"/>
    </row>
    <row r="76" spans="1:16" ht="45" customHeight="1" x14ac:dyDescent="0.3">
      <c r="B76" s="620"/>
      <c r="C76" s="879"/>
      <c r="D76" s="857" t="s">
        <v>606</v>
      </c>
      <c r="E76" s="965">
        <v>8</v>
      </c>
      <c r="F76" s="965">
        <v>1</v>
      </c>
      <c r="G76" s="962">
        <f t="shared" si="27"/>
        <v>8</v>
      </c>
      <c r="H76" s="965">
        <v>8</v>
      </c>
      <c r="I76" s="965">
        <v>1</v>
      </c>
      <c r="J76" s="965">
        <f t="shared" ref="J76:J77" si="29">H76*I76</f>
        <v>8</v>
      </c>
      <c r="K76" s="958">
        <f t="shared" si="18"/>
        <v>0</v>
      </c>
      <c r="L76" s="966"/>
      <c r="M76" s="966"/>
      <c r="N76" s="968"/>
      <c r="O76" s="949"/>
    </row>
    <row r="77" spans="1:16" ht="53.25" customHeight="1" x14ac:dyDescent="0.3">
      <c r="A77" s="300" t="s">
        <v>375</v>
      </c>
      <c r="B77" s="44"/>
      <c r="C77" s="879"/>
      <c r="D77" s="857" t="s">
        <v>736</v>
      </c>
      <c r="E77" s="965">
        <v>24</v>
      </c>
      <c r="F77" s="965">
        <v>0.5</v>
      </c>
      <c r="G77" s="962">
        <f t="shared" si="27"/>
        <v>12</v>
      </c>
      <c r="H77" s="965">
        <f>Num_FFD_Prgms_Full</f>
        <v>24</v>
      </c>
      <c r="I77" s="971">
        <f>30/60</f>
        <v>0.5</v>
      </c>
      <c r="J77" s="965">
        <f t="shared" si="29"/>
        <v>12</v>
      </c>
      <c r="K77" s="958">
        <f t="shared" si="18"/>
        <v>0</v>
      </c>
      <c r="L77" s="966"/>
      <c r="M77" s="966"/>
      <c r="N77" s="968"/>
      <c r="O77" s="914"/>
    </row>
    <row r="78" spans="1:16" ht="25" x14ac:dyDescent="0.3">
      <c r="B78" s="44"/>
      <c r="C78" s="879"/>
      <c r="D78" s="857" t="s">
        <v>733</v>
      </c>
      <c r="E78" s="973" t="s">
        <v>716</v>
      </c>
      <c r="F78" s="973"/>
      <c r="G78" s="973"/>
      <c r="H78" s="973" t="s">
        <v>716</v>
      </c>
      <c r="I78" s="973"/>
      <c r="J78" s="973"/>
      <c r="K78" s="958">
        <f t="shared" si="18"/>
        <v>0</v>
      </c>
      <c r="L78" s="966"/>
      <c r="M78" s="966"/>
      <c r="N78" s="968"/>
      <c r="O78" s="914"/>
    </row>
    <row r="79" spans="1:16" ht="25" x14ac:dyDescent="0.3">
      <c r="B79" s="44"/>
      <c r="C79" s="879"/>
      <c r="D79" s="857" t="s">
        <v>734</v>
      </c>
      <c r="E79" s="973" t="s">
        <v>716</v>
      </c>
      <c r="F79" s="973"/>
      <c r="G79" s="973"/>
      <c r="H79" s="973" t="s">
        <v>716</v>
      </c>
      <c r="I79" s="973"/>
      <c r="J79" s="973"/>
      <c r="K79" s="958">
        <f t="shared" si="18"/>
        <v>0</v>
      </c>
      <c r="L79" s="966"/>
      <c r="M79" s="966"/>
      <c r="N79" s="968"/>
      <c r="O79" s="914"/>
    </row>
    <row r="80" spans="1:16" ht="25" x14ac:dyDescent="0.3">
      <c r="B80" s="44"/>
      <c r="C80" s="879"/>
      <c r="D80" s="857" t="s">
        <v>735</v>
      </c>
      <c r="E80" s="973" t="s">
        <v>716</v>
      </c>
      <c r="F80" s="973"/>
      <c r="G80" s="973"/>
      <c r="H80" s="973" t="s">
        <v>716</v>
      </c>
      <c r="I80" s="973"/>
      <c r="J80" s="973"/>
      <c r="K80" s="958">
        <f t="shared" si="18"/>
        <v>0</v>
      </c>
      <c r="L80" s="966"/>
      <c r="M80" s="966"/>
      <c r="N80" s="968"/>
      <c r="O80" s="914"/>
    </row>
    <row r="81" spans="1:15" ht="173.25" customHeight="1" x14ac:dyDescent="0.3">
      <c r="B81" s="49"/>
      <c r="C81" s="879"/>
      <c r="D81" s="970" t="s">
        <v>987</v>
      </c>
      <c r="E81" s="971">
        <v>60</v>
      </c>
      <c r="F81" s="971">
        <v>1</v>
      </c>
      <c r="G81" s="962">
        <f t="shared" ref="G81" si="30">E81*F81</f>
        <v>60</v>
      </c>
      <c r="H81" s="962">
        <f>60+32</f>
        <v>92</v>
      </c>
      <c r="I81" s="971">
        <v>1</v>
      </c>
      <c r="J81" s="962">
        <f t="shared" ref="J81" si="31">I81*H81</f>
        <v>92</v>
      </c>
      <c r="K81" s="958">
        <f t="shared" si="18"/>
        <v>32</v>
      </c>
      <c r="L81" s="966" t="s">
        <v>1110</v>
      </c>
      <c r="M81" s="967" t="s">
        <v>665</v>
      </c>
      <c r="N81" s="968" t="s">
        <v>1127</v>
      </c>
      <c r="O81" s="914"/>
    </row>
    <row r="82" spans="1:15" ht="66.75" customHeight="1" x14ac:dyDescent="0.3">
      <c r="A82" s="300" t="s">
        <v>373</v>
      </c>
      <c r="B82" s="165"/>
      <c r="C82" s="879"/>
      <c r="D82" s="970" t="s">
        <v>607</v>
      </c>
      <c r="E82" s="971">
        <f>559*0.05</f>
        <v>27.950000000000003</v>
      </c>
      <c r="F82" s="972">
        <v>0.25</v>
      </c>
      <c r="G82" s="965">
        <f>E82*F82</f>
        <v>6.9875000000000007</v>
      </c>
      <c r="H82" s="971">
        <f>ROUNDUP('Data '!C44* (0.05),0)</f>
        <v>37</v>
      </c>
      <c r="I82" s="972">
        <f>15/60</f>
        <v>0.25</v>
      </c>
      <c r="J82" s="965">
        <f>I82*H82</f>
        <v>9.25</v>
      </c>
      <c r="K82" s="958">
        <f t="shared" si="18"/>
        <v>2.2624999999999993</v>
      </c>
      <c r="L82" s="966" t="s">
        <v>988</v>
      </c>
      <c r="M82" s="967" t="s">
        <v>666</v>
      </c>
      <c r="N82" s="968" t="s">
        <v>1121</v>
      </c>
      <c r="O82" s="914"/>
    </row>
    <row r="83" spans="1:15" ht="56.4" customHeight="1" x14ac:dyDescent="0.3">
      <c r="B83" s="41"/>
      <c r="C83" s="879"/>
      <c r="D83" s="970" t="s">
        <v>737</v>
      </c>
      <c r="E83" s="973" t="s">
        <v>715</v>
      </c>
      <c r="F83" s="973"/>
      <c r="G83" s="973"/>
      <c r="H83" s="973" t="s">
        <v>715</v>
      </c>
      <c r="I83" s="973"/>
      <c r="J83" s="973"/>
      <c r="K83" s="958">
        <f t="shared" si="18"/>
        <v>0</v>
      </c>
      <c r="L83" s="966"/>
      <c r="M83" s="966"/>
      <c r="N83" s="968"/>
      <c r="O83" s="914"/>
    </row>
    <row r="84" spans="1:15" ht="57.65" customHeight="1" x14ac:dyDescent="0.3">
      <c r="A84" s="300" t="s">
        <v>375</v>
      </c>
      <c r="B84" s="42"/>
      <c r="C84" s="879"/>
      <c r="D84" s="970" t="s">
        <v>608</v>
      </c>
      <c r="E84" s="971">
        <v>24</v>
      </c>
      <c r="F84" s="971">
        <v>1</v>
      </c>
      <c r="G84" s="965">
        <f>E84*F84</f>
        <v>24</v>
      </c>
      <c r="H84" s="985">
        <f>Num_FFD_Prgms_Full</f>
        <v>24</v>
      </c>
      <c r="I84" s="971">
        <f>F84</f>
        <v>1</v>
      </c>
      <c r="J84" s="965">
        <f t="shared" ref="J84:J86" si="32">I84*H84</f>
        <v>24</v>
      </c>
      <c r="K84" s="958">
        <f t="shared" si="18"/>
        <v>0</v>
      </c>
      <c r="L84" s="966"/>
      <c r="M84" s="966"/>
      <c r="N84" s="968"/>
      <c r="O84" s="914"/>
    </row>
    <row r="85" spans="1:15" ht="28.5" customHeight="1" x14ac:dyDescent="0.3">
      <c r="A85" s="300" t="s">
        <v>487</v>
      </c>
      <c r="B85" s="163"/>
      <c r="C85" s="879"/>
      <c r="D85" s="969" t="s">
        <v>609</v>
      </c>
      <c r="E85" s="971">
        <v>10</v>
      </c>
      <c r="F85" s="971">
        <v>0.5</v>
      </c>
      <c r="G85" s="965">
        <f>E85*F85</f>
        <v>5</v>
      </c>
      <c r="H85" s="971">
        <v>10</v>
      </c>
      <c r="I85" s="971">
        <f>30/60</f>
        <v>0.5</v>
      </c>
      <c r="J85" s="965">
        <f t="shared" si="32"/>
        <v>5</v>
      </c>
      <c r="K85" s="958">
        <f t="shared" si="18"/>
        <v>0</v>
      </c>
      <c r="L85" s="966" t="s">
        <v>899</v>
      </c>
      <c r="M85" s="967" t="s">
        <v>666</v>
      </c>
      <c r="N85" s="968"/>
      <c r="O85" s="914"/>
    </row>
    <row r="86" spans="1:15" ht="250.5" customHeight="1" x14ac:dyDescent="0.3">
      <c r="A86" s="300" t="s">
        <v>317</v>
      </c>
      <c r="B86" s="42"/>
      <c r="C86" s="879"/>
      <c r="D86" s="970" t="s">
        <v>610</v>
      </c>
      <c r="E86" s="971">
        <f>6514/3</f>
        <v>2171.3333333333335</v>
      </c>
      <c r="F86" s="972">
        <v>0.25</v>
      </c>
      <c r="G86" s="965">
        <f>E86*F86</f>
        <v>542.83333333333337</v>
      </c>
      <c r="H86" s="971">
        <f>ROUND('Data '!D24/3,0)</f>
        <v>1343</v>
      </c>
      <c r="I86" s="972">
        <f>15/60</f>
        <v>0.25</v>
      </c>
      <c r="J86" s="965">
        <f t="shared" si="32"/>
        <v>335.75</v>
      </c>
      <c r="K86" s="958">
        <f t="shared" si="18"/>
        <v>-207.08333333333337</v>
      </c>
      <c r="L86" s="966" t="s">
        <v>1111</v>
      </c>
      <c r="M86" s="967" t="s">
        <v>666</v>
      </c>
      <c r="N86" s="968" t="s">
        <v>1203</v>
      </c>
      <c r="O86" s="914"/>
    </row>
    <row r="87" spans="1:15" ht="25" x14ac:dyDescent="0.3">
      <c r="B87" s="163"/>
      <c r="C87" s="879"/>
      <c r="D87" s="970" t="s">
        <v>738</v>
      </c>
      <c r="E87" s="973" t="s">
        <v>598</v>
      </c>
      <c r="F87" s="973"/>
      <c r="G87" s="973"/>
      <c r="H87" s="973" t="s">
        <v>598</v>
      </c>
      <c r="I87" s="973"/>
      <c r="J87" s="973"/>
      <c r="K87" s="958">
        <f t="shared" si="18"/>
        <v>0</v>
      </c>
      <c r="L87" s="966"/>
      <c r="M87" s="966"/>
      <c r="N87" s="968"/>
      <c r="O87" s="914"/>
    </row>
    <row r="88" spans="1:15" ht="50" x14ac:dyDescent="0.3">
      <c r="B88" s="728" t="s">
        <v>936</v>
      </c>
      <c r="C88" s="879"/>
      <c r="D88" s="857" t="s">
        <v>912</v>
      </c>
      <c r="E88" s="973" t="s">
        <v>598</v>
      </c>
      <c r="F88" s="973"/>
      <c r="G88" s="973"/>
      <c r="H88" s="973" t="s">
        <v>952</v>
      </c>
      <c r="I88" s="973"/>
      <c r="J88" s="973"/>
      <c r="K88" s="958">
        <f t="shared" si="18"/>
        <v>0</v>
      </c>
      <c r="L88" s="966"/>
      <c r="M88" s="966"/>
      <c r="N88" s="968" t="s">
        <v>1116</v>
      </c>
      <c r="O88" s="914"/>
    </row>
    <row r="89" spans="1:15" ht="14" x14ac:dyDescent="0.3">
      <c r="A89" s="318"/>
      <c r="B89" s="165"/>
      <c r="C89" s="879"/>
      <c r="D89" s="970" t="s">
        <v>611</v>
      </c>
      <c r="E89" s="971">
        <v>9</v>
      </c>
      <c r="F89" s="971">
        <v>240</v>
      </c>
      <c r="G89" s="965">
        <f>E89*F89</f>
        <v>2160</v>
      </c>
      <c r="H89" s="976">
        <f>Num_HHS_Labs</f>
        <v>9</v>
      </c>
      <c r="I89" s="976">
        <v>240</v>
      </c>
      <c r="J89" s="975">
        <f t="shared" ref="J89" si="33">I89*H89</f>
        <v>2160</v>
      </c>
      <c r="K89" s="958">
        <f t="shared" si="18"/>
        <v>0</v>
      </c>
      <c r="L89" s="966"/>
      <c r="M89" s="966"/>
      <c r="N89" s="968"/>
      <c r="O89" s="914"/>
    </row>
    <row r="90" spans="1:15" ht="25" x14ac:dyDescent="0.3">
      <c r="B90" s="373"/>
      <c r="C90" s="879"/>
      <c r="D90" s="857" t="s">
        <v>612</v>
      </c>
      <c r="E90" s="973" t="s">
        <v>598</v>
      </c>
      <c r="F90" s="973"/>
      <c r="G90" s="973"/>
      <c r="H90" s="973" t="s">
        <v>598</v>
      </c>
      <c r="I90" s="973"/>
      <c r="J90" s="973"/>
      <c r="K90" s="958">
        <f t="shared" si="18"/>
        <v>0</v>
      </c>
      <c r="L90" s="966"/>
      <c r="M90" s="966"/>
      <c r="N90" s="968"/>
      <c r="O90" s="914"/>
    </row>
    <row r="91" spans="1:15" ht="14" x14ac:dyDescent="0.3">
      <c r="B91" s="165"/>
      <c r="C91" s="879"/>
      <c r="D91" s="857" t="s">
        <v>613</v>
      </c>
      <c r="E91" s="971">
        <v>9</v>
      </c>
      <c r="F91" s="971">
        <v>40</v>
      </c>
      <c r="G91" s="965">
        <f>E91*F91</f>
        <v>360</v>
      </c>
      <c r="H91" s="976">
        <f>Num_HHS_Labs</f>
        <v>9</v>
      </c>
      <c r="I91" s="976">
        <v>40</v>
      </c>
      <c r="J91" s="975">
        <f t="shared" ref="J91" si="34">I91*H91</f>
        <v>360</v>
      </c>
      <c r="K91" s="958">
        <f t="shared" si="18"/>
        <v>0</v>
      </c>
      <c r="L91" s="966"/>
      <c r="M91" s="966"/>
      <c r="N91" s="968"/>
      <c r="O91" s="914"/>
    </row>
    <row r="92" spans="1:15" ht="37.5" x14ac:dyDescent="0.3">
      <c r="B92" s="373"/>
      <c r="C92" s="879"/>
      <c r="D92" s="857" t="s">
        <v>913</v>
      </c>
      <c r="E92" s="973" t="s">
        <v>598</v>
      </c>
      <c r="F92" s="973"/>
      <c r="G92" s="973"/>
      <c r="H92" s="973" t="s">
        <v>598</v>
      </c>
      <c r="I92" s="973"/>
      <c r="J92" s="973"/>
      <c r="K92" s="958">
        <f t="shared" si="18"/>
        <v>0</v>
      </c>
      <c r="L92" s="966"/>
      <c r="M92" s="966"/>
      <c r="N92" s="968"/>
      <c r="O92" s="914"/>
    </row>
    <row r="93" spans="1:15" ht="14" x14ac:dyDescent="0.3">
      <c r="A93" s="318"/>
      <c r="B93" s="165"/>
      <c r="C93" s="879"/>
      <c r="D93" s="986" t="s">
        <v>614</v>
      </c>
      <c r="E93" s="987">
        <v>9</v>
      </c>
      <c r="F93" s="988">
        <v>240</v>
      </c>
      <c r="G93" s="989">
        <f>E93*F93</f>
        <v>2160</v>
      </c>
      <c r="H93" s="990">
        <f>Num_HHS_Labs</f>
        <v>9</v>
      </c>
      <c r="I93" s="991">
        <v>240</v>
      </c>
      <c r="J93" s="992">
        <f t="shared" ref="J93" si="35">I93*H93</f>
        <v>2160</v>
      </c>
      <c r="K93" s="993">
        <f t="shared" si="18"/>
        <v>0</v>
      </c>
      <c r="L93" s="994"/>
      <c r="M93" s="994"/>
      <c r="N93" s="995"/>
      <c r="O93" s="914"/>
    </row>
    <row r="94" spans="1:15" ht="25" x14ac:dyDescent="0.3">
      <c r="B94" s="45"/>
      <c r="C94" s="879"/>
      <c r="D94" s="857" t="s">
        <v>615</v>
      </c>
      <c r="E94" s="973" t="s">
        <v>598</v>
      </c>
      <c r="F94" s="973"/>
      <c r="G94" s="973"/>
      <c r="H94" s="973" t="s">
        <v>598</v>
      </c>
      <c r="I94" s="973"/>
      <c r="J94" s="973"/>
      <c r="K94" s="996">
        <f t="shared" si="18"/>
        <v>0</v>
      </c>
      <c r="L94" s="997"/>
      <c r="M94" s="997"/>
      <c r="N94" s="850"/>
      <c r="O94" s="914"/>
    </row>
    <row r="95" spans="1:15" ht="25" x14ac:dyDescent="0.3">
      <c r="B95" s="756"/>
      <c r="C95" s="879"/>
      <c r="D95" s="857" t="s">
        <v>1128</v>
      </c>
      <c r="E95" s="998"/>
      <c r="F95" s="998"/>
      <c r="G95" s="998"/>
      <c r="H95" s="998" t="s">
        <v>598</v>
      </c>
      <c r="I95" s="998"/>
      <c r="J95" s="998"/>
      <c r="K95" s="999"/>
      <c r="L95" s="1000"/>
      <c r="M95" s="1000"/>
      <c r="N95" s="854"/>
      <c r="O95" s="914"/>
    </row>
    <row r="96" spans="1:15" ht="44.4" customHeight="1" x14ac:dyDescent="0.3">
      <c r="B96" s="677"/>
      <c r="C96" s="879"/>
      <c r="D96" s="1001" t="s">
        <v>914</v>
      </c>
      <c r="E96" s="971">
        <v>6</v>
      </c>
      <c r="F96" s="971">
        <v>8</v>
      </c>
      <c r="G96" s="965">
        <f>E96*F96</f>
        <v>48</v>
      </c>
      <c r="H96" s="971">
        <f>Num_30dayRpts</f>
        <v>4</v>
      </c>
      <c r="I96" s="971">
        <v>8</v>
      </c>
      <c r="J96" s="965">
        <f t="shared" ref="J96:J97" si="36">I96*H96</f>
        <v>32</v>
      </c>
      <c r="K96" s="996">
        <f t="shared" si="18"/>
        <v>-16</v>
      </c>
      <c r="L96" s="997"/>
      <c r="M96" s="997"/>
      <c r="N96" s="850"/>
      <c r="O96" s="914"/>
    </row>
    <row r="97" spans="1:15" ht="45.65" customHeight="1" thickBot="1" x14ac:dyDescent="0.35">
      <c r="A97" s="680"/>
      <c r="B97" s="679"/>
      <c r="C97" s="879"/>
      <c r="D97" s="1002" t="s">
        <v>616</v>
      </c>
      <c r="E97" s="1003">
        <v>1</v>
      </c>
      <c r="F97" s="1003">
        <v>4</v>
      </c>
      <c r="G97" s="1004">
        <f>E97*F97</f>
        <v>4</v>
      </c>
      <c r="H97" s="1003">
        <f>Num_Sites_CVs</f>
        <v>1</v>
      </c>
      <c r="I97" s="1003">
        <v>4</v>
      </c>
      <c r="J97" s="1004">
        <f t="shared" si="36"/>
        <v>4</v>
      </c>
      <c r="K97" s="1005">
        <f t="shared" si="18"/>
        <v>0</v>
      </c>
      <c r="L97" s="1006"/>
      <c r="M97" s="1006"/>
      <c r="N97" s="1007"/>
      <c r="O97" s="914"/>
    </row>
    <row r="98" spans="1:15" ht="14.5" thickTop="1" x14ac:dyDescent="0.3">
      <c r="A98" s="478"/>
      <c r="B98" s="678"/>
      <c r="C98" s="879"/>
      <c r="D98" s="1008" t="s">
        <v>277</v>
      </c>
      <c r="E98" s="1009">
        <f>SUM(E3:E97)</f>
        <v>366312.56000000006</v>
      </c>
      <c r="F98" s="1009"/>
      <c r="G98" s="1009">
        <f>SUM(G3:G97)</f>
        <v>411471.15333333344</v>
      </c>
      <c r="H98" s="1010">
        <f>SUM(H3:H97)</f>
        <v>324343</v>
      </c>
      <c r="I98" s="1011"/>
      <c r="J98" s="1012">
        <f>SUM(J3:J97)</f>
        <v>365003</v>
      </c>
      <c r="K98" s="1009">
        <f>SUM(K2:K97)</f>
        <v>-46468.15333333335</v>
      </c>
      <c r="L98" s="1013"/>
      <c r="M98" s="1013"/>
      <c r="N98" s="1013"/>
      <c r="O98" s="914"/>
    </row>
    <row r="99" spans="1:15" ht="12" customHeight="1" x14ac:dyDescent="0.3">
      <c r="B99" s="479"/>
      <c r="C99" s="879"/>
      <c r="D99" s="943"/>
      <c r="E99" s="944"/>
      <c r="F99" s="945"/>
      <c r="G99" s="879"/>
      <c r="H99" s="946"/>
      <c r="I99" s="946"/>
      <c r="J99" s="946"/>
      <c r="K99" s="947">
        <f>K98/G98</f>
        <v>-0.11293174006705987</v>
      </c>
      <c r="L99" s="914"/>
      <c r="M99" s="914"/>
      <c r="N99" s="914"/>
      <c r="O99" s="914"/>
    </row>
    <row r="100" spans="1:15" ht="12.75" customHeight="1" x14ac:dyDescent="0.3">
      <c r="H100" s="7"/>
      <c r="I100" s="7"/>
      <c r="J100" s="7"/>
    </row>
  </sheetData>
  <sheetProtection algorithmName="SHA-512" hashValue="ZYK7wiG3XZmT5cXySYEnQZawA2BF24CDF6cwOieenH8OebLUzcdCR8V9oiwsjuUIzXRq56Qj5in0r2lPiA3jiQ==" saltValue="7OZghCHqdcnfM+KtVBPWYg==" spinCount="100000" sheet="1" objects="1" scenarios="1" formatCells="0" formatRows="0" autoFilter="0"/>
  <autoFilter ref="D2:N99" xr:uid="{00000000-0001-0000-0500-000000000000}"/>
  <mergeCells count="2">
    <mergeCell ref="H1:J1"/>
    <mergeCell ref="E1:G1"/>
  </mergeCells>
  <pageMargins left="0.75" right="0.75" top="0.75" bottom="0.75" header="0.5" footer="0.5"/>
  <pageSetup scale="88" fitToHeight="0" orientation="landscape" r:id="rId1"/>
  <headerFooter>
    <oddHeader>&amp;C&amp;"Arial,Bold"&amp;14FINAL Supporting Statement, 10 CFR Part 26</oddHeader>
    <oddFooter>Page &amp;P of &amp;N</oddFooter>
  </headerFooter>
  <rowBreaks count="1" manualBreakCount="1">
    <brk id="85"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16"/>
  <sheetViews>
    <sheetView view="pageBreakPreview" zoomScaleNormal="80" zoomScaleSheetLayoutView="100" workbookViewId="0">
      <pane xSplit="4" ySplit="2" topLeftCell="H3" activePane="bottomRight" state="frozen"/>
      <selection activeCell="Q31" sqref="Q31"/>
      <selection pane="topRight" activeCell="Q31" sqref="Q31"/>
      <selection pane="bottomLeft" activeCell="Q31" sqref="Q31"/>
      <selection pane="bottomRight" activeCell="R14" sqref="R14"/>
    </sheetView>
  </sheetViews>
  <sheetFormatPr defaultRowHeight="14" x14ac:dyDescent="0.3"/>
  <cols>
    <col min="1" max="1" width="11.1640625" style="10" hidden="1" customWidth="1"/>
    <col min="2" max="2" width="10" hidden="1" customWidth="1"/>
    <col min="3" max="3" width="2" customWidth="1"/>
    <col min="4" max="4" width="44" customWidth="1"/>
    <col min="5" max="5" width="11.9140625" hidden="1" customWidth="1"/>
    <col min="6" max="6" width="13" hidden="1" customWidth="1"/>
    <col min="7" max="7" width="11.6640625" hidden="1" customWidth="1"/>
    <col min="8" max="8" width="9.1640625" customWidth="1"/>
    <col min="9" max="9" width="9.08203125" customWidth="1"/>
    <col min="10" max="10" width="14.6640625" bestFit="1" customWidth="1"/>
    <col min="11" max="11" width="11.6640625" hidden="1" customWidth="1"/>
    <col min="12" max="12" width="49.4140625" hidden="1" customWidth="1"/>
    <col min="13" max="13" width="9.1640625" hidden="1" customWidth="1"/>
    <col min="14" max="14" width="43" customWidth="1"/>
    <col min="15" max="15" width="2.1640625" customWidth="1"/>
  </cols>
  <sheetData>
    <row r="1" spans="1:15" ht="18" x14ac:dyDescent="0.4">
      <c r="A1" s="513" t="s">
        <v>829</v>
      </c>
      <c r="B1" s="513" t="s">
        <v>829</v>
      </c>
      <c r="C1" s="879"/>
      <c r="D1" s="1018" t="s">
        <v>617</v>
      </c>
      <c r="E1" s="1174" t="s">
        <v>762</v>
      </c>
      <c r="F1" s="1182"/>
      <c r="G1" s="1182"/>
      <c r="H1" s="1019" t="s">
        <v>1196</v>
      </c>
      <c r="I1" s="1020"/>
      <c r="J1" s="1020"/>
      <c r="K1" s="813" t="s">
        <v>829</v>
      </c>
      <c r="L1" s="813" t="s">
        <v>829</v>
      </c>
      <c r="M1" s="813" t="s">
        <v>829</v>
      </c>
      <c r="N1" s="28"/>
      <c r="O1" s="879"/>
    </row>
    <row r="2" spans="1:15" ht="50.5" thickBot="1" x14ac:dyDescent="0.35">
      <c r="A2" s="471" t="s">
        <v>370</v>
      </c>
      <c r="B2" s="249" t="s">
        <v>618</v>
      </c>
      <c r="C2" s="879"/>
      <c r="D2" s="1021" t="s">
        <v>619</v>
      </c>
      <c r="E2" s="818" t="s">
        <v>906</v>
      </c>
      <c r="F2" s="818" t="s">
        <v>620</v>
      </c>
      <c r="G2" s="818" t="s">
        <v>621</v>
      </c>
      <c r="H2" s="818" t="s">
        <v>906</v>
      </c>
      <c r="I2" s="818" t="s">
        <v>620</v>
      </c>
      <c r="J2" s="818" t="s">
        <v>1212</v>
      </c>
      <c r="K2" s="1022" t="s">
        <v>622</v>
      </c>
      <c r="L2" s="821" t="s">
        <v>339</v>
      </c>
      <c r="M2" s="821" t="s">
        <v>340</v>
      </c>
      <c r="N2" s="822" t="s">
        <v>830</v>
      </c>
      <c r="O2" s="879"/>
    </row>
    <row r="3" spans="1:15" ht="21" customHeight="1" thickTop="1" x14ac:dyDescent="0.3">
      <c r="A3" s="26"/>
      <c r="B3" s="245"/>
      <c r="C3" s="879"/>
      <c r="D3" s="1023" t="s">
        <v>905</v>
      </c>
      <c r="E3" s="955">
        <v>0</v>
      </c>
      <c r="F3" s="955">
        <v>40</v>
      </c>
      <c r="G3" s="955">
        <f>F3*E3</f>
        <v>0</v>
      </c>
      <c r="H3" s="1024">
        <v>0</v>
      </c>
      <c r="I3" s="957">
        <v>40</v>
      </c>
      <c r="J3" s="1024">
        <f>I3*H3</f>
        <v>0</v>
      </c>
      <c r="K3" s="958">
        <f t="shared" ref="K3:K14" si="0">J3-G3</f>
        <v>0</v>
      </c>
      <c r="L3" s="1025" t="s">
        <v>992</v>
      </c>
      <c r="M3" s="960" t="s">
        <v>667</v>
      </c>
      <c r="N3" s="1026"/>
      <c r="O3" s="879"/>
    </row>
    <row r="4" spans="1:15" ht="162.5" x14ac:dyDescent="0.3">
      <c r="A4" s="306" t="s">
        <v>487</v>
      </c>
      <c r="B4" s="322"/>
      <c r="C4" s="879"/>
      <c r="D4" s="934" t="s">
        <v>900</v>
      </c>
      <c r="E4" s="1024">
        <v>40</v>
      </c>
      <c r="F4" s="957">
        <v>12</v>
      </c>
      <c r="G4" s="962">
        <f>F4*E4</f>
        <v>480</v>
      </c>
      <c r="H4" s="1024">
        <f>T3_AnnRpting!J4</f>
        <v>0</v>
      </c>
      <c r="I4" s="957">
        <v>12</v>
      </c>
      <c r="J4" s="1027">
        <f>I4*H4</f>
        <v>0</v>
      </c>
      <c r="K4" s="958">
        <f t="shared" ref="K4" si="1">J4-G4</f>
        <v>-480</v>
      </c>
      <c r="L4" s="1028" t="s">
        <v>993</v>
      </c>
      <c r="M4" s="967" t="s">
        <v>667</v>
      </c>
      <c r="N4" s="1029" t="s">
        <v>994</v>
      </c>
      <c r="O4" s="879"/>
    </row>
    <row r="5" spans="1:15" ht="57" customHeight="1" x14ac:dyDescent="0.3">
      <c r="A5" s="26"/>
      <c r="B5" s="448"/>
      <c r="C5" s="879"/>
      <c r="D5" s="1030" t="s">
        <v>907</v>
      </c>
      <c r="E5" s="962">
        <v>19</v>
      </c>
      <c r="F5" s="962">
        <v>8</v>
      </c>
      <c r="G5" s="962">
        <f t="shared" ref="G5" si="2">F5*E5</f>
        <v>152</v>
      </c>
      <c r="H5" s="1031">
        <f>ROUND((Num_Sites_Reactors_Operating + Num_Sites_Reactors_Construction + Num_Sites_FuelCycle)/3,0)</f>
        <v>20</v>
      </c>
      <c r="I5" s="957">
        <v>8</v>
      </c>
      <c r="J5" s="957">
        <f t="shared" ref="J5:J14" si="3">I5*H5</f>
        <v>160</v>
      </c>
      <c r="K5" s="958">
        <f t="shared" si="0"/>
        <v>8</v>
      </c>
      <c r="L5" s="1028" t="s">
        <v>995</v>
      </c>
      <c r="M5" s="967" t="s">
        <v>667</v>
      </c>
      <c r="N5" s="1029" t="s">
        <v>996</v>
      </c>
      <c r="O5" s="879"/>
    </row>
    <row r="6" spans="1:15" ht="62.5" x14ac:dyDescent="0.3">
      <c r="A6" s="26"/>
      <c r="B6" s="449"/>
      <c r="C6" s="879"/>
      <c r="D6" s="1032" t="s">
        <v>941</v>
      </c>
      <c r="E6" s="1033">
        <v>0</v>
      </c>
      <c r="F6" s="1033">
        <v>4</v>
      </c>
      <c r="G6" s="1033">
        <f t="shared" ref="G6:G14" si="4">F6*E6</f>
        <v>0</v>
      </c>
      <c r="H6" s="1027">
        <v>0</v>
      </c>
      <c r="I6" s="957">
        <v>4</v>
      </c>
      <c r="J6" s="1027">
        <f t="shared" si="3"/>
        <v>0</v>
      </c>
      <c r="K6" s="958">
        <f t="shared" si="0"/>
        <v>0</v>
      </c>
      <c r="L6" s="1028"/>
      <c r="M6" s="1034"/>
      <c r="N6" s="1035"/>
      <c r="O6" s="879"/>
    </row>
    <row r="7" spans="1:15" ht="25" x14ac:dyDescent="0.3">
      <c r="A7" s="26"/>
      <c r="B7" s="38"/>
      <c r="C7" s="879"/>
      <c r="D7" s="1032" t="s">
        <v>901</v>
      </c>
      <c r="E7" s="1033">
        <v>0</v>
      </c>
      <c r="F7" s="1033">
        <v>4</v>
      </c>
      <c r="G7" s="1033">
        <f t="shared" si="4"/>
        <v>0</v>
      </c>
      <c r="H7" s="1027">
        <v>0</v>
      </c>
      <c r="I7" s="957">
        <v>4</v>
      </c>
      <c r="J7" s="1027">
        <f t="shared" si="3"/>
        <v>0</v>
      </c>
      <c r="K7" s="958">
        <f t="shared" si="0"/>
        <v>0</v>
      </c>
      <c r="L7" s="1028"/>
      <c r="M7" s="1034"/>
      <c r="N7" s="1035"/>
      <c r="O7" s="879"/>
    </row>
    <row r="8" spans="1:15" ht="25" x14ac:dyDescent="0.3">
      <c r="A8" s="26"/>
      <c r="B8" s="38"/>
      <c r="C8" s="879"/>
      <c r="D8" s="1032" t="s">
        <v>909</v>
      </c>
      <c r="E8" s="1033">
        <v>1</v>
      </c>
      <c r="F8" s="1033">
        <v>4</v>
      </c>
      <c r="G8" s="1033">
        <f t="shared" si="4"/>
        <v>4</v>
      </c>
      <c r="H8" s="957">
        <v>1</v>
      </c>
      <c r="I8" s="957">
        <v>4</v>
      </c>
      <c r="J8" s="1036">
        <f t="shared" si="3"/>
        <v>4</v>
      </c>
      <c r="K8" s="958">
        <f t="shared" si="0"/>
        <v>0</v>
      </c>
      <c r="L8" s="1028"/>
      <c r="M8" s="1034"/>
      <c r="N8" s="1035"/>
      <c r="O8" s="879"/>
    </row>
    <row r="9" spans="1:15" ht="50" x14ac:dyDescent="0.3">
      <c r="A9" s="306"/>
      <c r="B9" s="38"/>
      <c r="C9" s="879"/>
      <c r="D9" s="954" t="s">
        <v>908</v>
      </c>
      <c r="E9" s="1037" t="s">
        <v>747</v>
      </c>
      <c r="F9" s="1037"/>
      <c r="G9" s="1037"/>
      <c r="H9" s="1037" t="s">
        <v>747</v>
      </c>
      <c r="I9" s="1037"/>
      <c r="J9" s="1037"/>
      <c r="K9" s="1038">
        <f t="shared" si="0"/>
        <v>0</v>
      </c>
      <c r="L9" s="1028"/>
      <c r="M9" s="1034"/>
      <c r="N9" s="1035"/>
      <c r="O9" s="879"/>
    </row>
    <row r="10" spans="1:15" ht="210" customHeight="1" x14ac:dyDescent="0.3">
      <c r="A10" s="306" t="s">
        <v>317</v>
      </c>
      <c r="B10" s="38"/>
      <c r="C10" s="879"/>
      <c r="D10" s="1032" t="s">
        <v>902</v>
      </c>
      <c r="E10" s="1033">
        <v>0.33333333333333331</v>
      </c>
      <c r="F10" s="1033">
        <v>25</v>
      </c>
      <c r="G10" s="1033">
        <f t="shared" si="4"/>
        <v>8.3333333333333321</v>
      </c>
      <c r="H10" s="957">
        <f>Num_FFD_Prgms_SubK/3</f>
        <v>1.3333333333333333</v>
      </c>
      <c r="I10" s="957">
        <v>25</v>
      </c>
      <c r="J10" s="957">
        <f t="shared" si="3"/>
        <v>33.333333333333329</v>
      </c>
      <c r="K10" s="958">
        <f t="shared" si="0"/>
        <v>24.999999999999996</v>
      </c>
      <c r="L10" s="1028"/>
      <c r="M10" s="1034"/>
      <c r="N10" s="1029" t="s">
        <v>1117</v>
      </c>
      <c r="O10" s="879"/>
    </row>
    <row r="11" spans="1:15" ht="204" customHeight="1" x14ac:dyDescent="0.3">
      <c r="A11" s="306" t="s">
        <v>487</v>
      </c>
      <c r="B11" s="450"/>
      <c r="C11" s="879"/>
      <c r="D11" s="1032" t="s">
        <v>904</v>
      </c>
      <c r="E11" s="962">
        <v>52</v>
      </c>
      <c r="F11" s="977">
        <v>0.75</v>
      </c>
      <c r="G11" s="1033">
        <f t="shared" si="4"/>
        <v>39</v>
      </c>
      <c r="H11" s="957">
        <f>(Num_Sites_Reactors_Operating)</f>
        <v>53</v>
      </c>
      <c r="I11" s="1039">
        <f>45/60</f>
        <v>0.75</v>
      </c>
      <c r="J11" s="957">
        <f t="shared" si="3"/>
        <v>39.75</v>
      </c>
      <c r="K11" s="1038">
        <f t="shared" si="0"/>
        <v>0.75</v>
      </c>
      <c r="L11" s="1028" t="s">
        <v>997</v>
      </c>
      <c r="M11" s="967" t="s">
        <v>668</v>
      </c>
      <c r="N11" s="1029" t="s">
        <v>998</v>
      </c>
      <c r="O11" s="879"/>
    </row>
    <row r="12" spans="1:15" ht="181.5" customHeight="1" x14ac:dyDescent="0.3">
      <c r="A12" s="306" t="s">
        <v>373</v>
      </c>
      <c r="B12" s="38"/>
      <c r="C12" s="879"/>
      <c r="D12" s="1032" t="s">
        <v>903</v>
      </c>
      <c r="E12" s="1033">
        <v>60</v>
      </c>
      <c r="F12" s="1033">
        <v>12</v>
      </c>
      <c r="G12" s="1033">
        <f t="shared" si="4"/>
        <v>720</v>
      </c>
      <c r="H12" s="957">
        <f>(Num_Sites_Reactors_Operating)+ + SUM('Data '!$C$12,'Data '!$C$13,'Data '!$C$14)</f>
        <v>60</v>
      </c>
      <c r="I12" s="957">
        <v>12</v>
      </c>
      <c r="J12" s="957">
        <f t="shared" si="3"/>
        <v>720</v>
      </c>
      <c r="K12" s="1038">
        <f t="shared" si="0"/>
        <v>0</v>
      </c>
      <c r="L12" s="1028" t="s">
        <v>999</v>
      </c>
      <c r="M12" s="967" t="s">
        <v>668</v>
      </c>
      <c r="N12" s="1029" t="s">
        <v>1204</v>
      </c>
      <c r="O12" s="879"/>
    </row>
    <row r="13" spans="1:15" ht="68.25" customHeight="1" x14ac:dyDescent="0.3">
      <c r="A13" s="306" t="s">
        <v>373</v>
      </c>
      <c r="B13" s="38"/>
      <c r="C13" s="879"/>
      <c r="D13" s="1032" t="s">
        <v>910</v>
      </c>
      <c r="E13" s="1033">
        <v>36</v>
      </c>
      <c r="F13" s="962">
        <v>8</v>
      </c>
      <c r="G13" s="1033">
        <f t="shared" si="4"/>
        <v>288</v>
      </c>
      <c r="H13" s="957">
        <f>Num_24hrRpts</f>
        <v>30</v>
      </c>
      <c r="I13" s="957">
        <v>8</v>
      </c>
      <c r="J13" s="957">
        <f t="shared" si="3"/>
        <v>240</v>
      </c>
      <c r="K13" s="1038">
        <f t="shared" si="0"/>
        <v>-48</v>
      </c>
      <c r="L13" s="1040" t="s">
        <v>1000</v>
      </c>
      <c r="M13" s="967" t="s">
        <v>668</v>
      </c>
      <c r="N13" s="1041" t="s">
        <v>1001</v>
      </c>
      <c r="O13" s="879"/>
    </row>
    <row r="14" spans="1:15" ht="69" customHeight="1" thickBot="1" x14ac:dyDescent="0.35">
      <c r="A14" s="516" t="s">
        <v>373</v>
      </c>
      <c r="B14" s="517"/>
      <c r="C14" s="879"/>
      <c r="D14" s="1042" t="s">
        <v>911</v>
      </c>
      <c r="E14" s="1043">
        <v>6</v>
      </c>
      <c r="F14" s="1043">
        <v>4</v>
      </c>
      <c r="G14" s="1043">
        <f t="shared" si="4"/>
        <v>24</v>
      </c>
      <c r="H14" s="1004">
        <f>Num_30dayRpts</f>
        <v>4</v>
      </c>
      <c r="I14" s="1004">
        <v>4</v>
      </c>
      <c r="J14" s="1004">
        <f t="shared" si="3"/>
        <v>16</v>
      </c>
      <c r="K14" s="1044">
        <f t="shared" si="0"/>
        <v>-8</v>
      </c>
      <c r="L14" s="1045" t="s">
        <v>1002</v>
      </c>
      <c r="M14" s="1046" t="s">
        <v>668</v>
      </c>
      <c r="N14" s="1047" t="s">
        <v>1205</v>
      </c>
      <c r="O14" s="879"/>
    </row>
    <row r="15" spans="1:15" s="170" customFormat="1" ht="14.5" thickTop="1" x14ac:dyDescent="0.3">
      <c r="A15" s="384"/>
      <c r="B15" s="518"/>
      <c r="C15" s="1014"/>
      <c r="D15" s="1048" t="s">
        <v>1003</v>
      </c>
      <c r="E15" s="1009">
        <f>SUM(E2:E14)</f>
        <v>214.33333333333334</v>
      </c>
      <c r="F15" s="1009"/>
      <c r="G15" s="1009">
        <f>SUM(G3:G14)</f>
        <v>1715.3333333333335</v>
      </c>
      <c r="H15" s="1049">
        <f>SUM(H2:H14)</f>
        <v>169.33333333333331</v>
      </c>
      <c r="I15" s="1050"/>
      <c r="J15" s="1012">
        <f>SUM(J3:J14)</f>
        <v>1213.0833333333333</v>
      </c>
      <c r="K15" s="1009">
        <f>SUM(K3:K14)</f>
        <v>-502.25</v>
      </c>
      <c r="L15" s="1051"/>
      <c r="M15" s="1052"/>
      <c r="N15" s="1054"/>
      <c r="O15" s="1014"/>
    </row>
    <row r="16" spans="1:15" x14ac:dyDescent="0.3">
      <c r="A16" s="276"/>
      <c r="B16" s="23"/>
      <c r="C16" s="879"/>
      <c r="D16" s="1015"/>
      <c r="E16" s="879"/>
      <c r="F16" s="1016"/>
      <c r="G16" s="1015"/>
      <c r="H16" s="1015"/>
      <c r="I16" s="1015"/>
      <c r="J16" s="1015"/>
      <c r="K16" s="1017">
        <f>K15/G15</f>
        <v>-0.29280023319082782</v>
      </c>
      <c r="L16" s="879"/>
      <c r="M16" s="879"/>
      <c r="N16" s="879"/>
      <c r="O16" s="879"/>
    </row>
  </sheetData>
  <sheetProtection algorithmName="SHA-512" hashValue="Zc7IMpo7J5QE8OEFzIbE218K5+clrkCC/LIIBkzs/Jr6+0NCjc2YZiqn2scX+OGo7jT6+nJ0ZDgKI7w6pB2yQQ==" saltValue="xmzwGC28mDl52Z6fDo0Jpw==" spinCount="100000" sheet="1" objects="1" scenarios="1" formatCells="0" formatRows="0" autoFilter="0"/>
  <autoFilter ref="D2:N2" xr:uid="{00000000-0001-0000-0600-000000000000}"/>
  <mergeCells count="1">
    <mergeCell ref="E1:G1"/>
  </mergeCells>
  <pageMargins left="0.75" right="0.75" top="0.75" bottom="0.75" header="0.5" footer="0.5"/>
  <pageSetup scale="89" fitToHeight="0" orientation="landscape" r:id="rId1"/>
  <headerFooter>
    <oddHeader xml:space="preserve">&amp;C&amp;"Arial,Bold"&amp;14FINAL Supporting Statement, 10 CFR Part 26
</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5E4182BF399C4D82AC0CDCD5D75027" ma:contentTypeVersion="13" ma:contentTypeDescription="Create a new document." ma:contentTypeScope="" ma:versionID="fb1b7cfd1357ca6b85a96af2b7dd93a2">
  <xsd:schema xmlns:xsd="http://www.w3.org/2001/XMLSchema" xmlns:xs="http://www.w3.org/2001/XMLSchema" xmlns:p="http://schemas.microsoft.com/office/2006/metadata/properties" xmlns:ns1="http://schemas.microsoft.com/sharepoint/v3" xmlns:ns3="6c4596b4-deaa-4e42-9398-8b9d3202fd30" xmlns:ns4="e5e4a380-6b1d-49f3-b23f-4727291aff80" targetNamespace="http://schemas.microsoft.com/office/2006/metadata/properties" ma:root="true" ma:fieldsID="1aaac49c7a8039139fea30d617f9d7f2" ns1:_="" ns3:_="" ns4:_="">
    <xsd:import namespace="http://schemas.microsoft.com/sharepoint/v3"/>
    <xsd:import namespace="6c4596b4-deaa-4e42-9398-8b9d3202fd30"/>
    <xsd:import namespace="e5e4a380-6b1d-49f3-b23f-4727291aff80"/>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4596b4-deaa-4e42-9398-8b9d3202fd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4a380-6b1d-49f3-b23f-4727291aff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9880B9-28FB-4AD4-81B4-E6DEB4175B86}">
  <ds:schemaRefs>
    <ds:schemaRef ds:uri="http://schemas.microsoft.com/sharepoint/v3"/>
    <ds:schemaRef ds:uri="http://purl.org/dc/elements/1.1/"/>
    <ds:schemaRef ds:uri="http://schemas.openxmlformats.org/package/2006/metadata/core-properties"/>
    <ds:schemaRef ds:uri="e5e4a380-6b1d-49f3-b23f-4727291aff80"/>
    <ds:schemaRef ds:uri="http://schemas.microsoft.com/office/infopath/2007/PartnerControls"/>
    <ds:schemaRef ds:uri="http://purl.org/dc/terms/"/>
    <ds:schemaRef ds:uri="http://schemas.microsoft.com/office/2006/documentManagement/types"/>
    <ds:schemaRef ds:uri="6c4596b4-deaa-4e42-9398-8b9d3202fd3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710AC06-D12B-4DFF-BDA3-448A2EC71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4596b4-deaa-4e42-9398-8b9d3202fd30"/>
    <ds:schemaRef ds:uri="e5e4a380-6b1d-49f3-b23f-4727291aff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1413DC-6516-4D57-8C2E-8D53758CB56C}">
  <ds:schemaRefs>
    <ds:schemaRef ds:uri="http://schemas.microsoft.com/sharepoint/v3/contenttype/forms"/>
  </ds:schemaRefs>
</ds:datastoreItem>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38</vt:i4>
      </vt:variant>
    </vt:vector>
  </HeadingPairs>
  <TitlesOfParts>
    <vt:vector size="48" baseType="lpstr">
      <vt:lpstr>FFD pgm &amp; sites</vt:lpstr>
      <vt:lpstr>Reactor Info</vt:lpstr>
      <vt:lpstr>Test Results</vt:lpstr>
      <vt:lpstr>Data </vt:lpstr>
      <vt:lpstr>T1_1X_Rcdkping</vt:lpstr>
      <vt:lpstr>T2_Ann_Rcdkping</vt:lpstr>
      <vt:lpstr>T3_AnnRpting</vt:lpstr>
      <vt:lpstr>T4_Ann_3rdParty</vt:lpstr>
      <vt:lpstr>T5_Ann_NRC</vt:lpstr>
      <vt:lpstr>TOTALS</vt:lpstr>
      <vt:lpstr>NRC_Labor_Rate</vt:lpstr>
      <vt:lpstr>Num_24hrRpts</vt:lpstr>
      <vt:lpstr>Num_30dayRpts</vt:lpstr>
      <vt:lpstr>Num_Fatigue_Programs</vt:lpstr>
      <vt:lpstr>Num_FFD_Prgms_Full</vt:lpstr>
      <vt:lpstr>Num_FFD_Prgms_SubK</vt:lpstr>
      <vt:lpstr>Num_FFD_Prgms_Total</vt:lpstr>
      <vt:lpstr>Num_HHS_Labs</vt:lpstr>
      <vt:lpstr>Num_LTFs</vt:lpstr>
      <vt:lpstr>Num_PreAccess_Tests</vt:lpstr>
      <vt:lpstr>Num_Random_Tests</vt:lpstr>
      <vt:lpstr>Num_Sites_CorpOffice</vt:lpstr>
      <vt:lpstr>Num_Sites_CVs</vt:lpstr>
      <vt:lpstr>Num_Sites_FuelCycle</vt:lpstr>
      <vt:lpstr>Num_Sites_Reactors_Construction</vt:lpstr>
      <vt:lpstr>Num_Sites_Reactors_Operating</vt:lpstr>
      <vt:lpstr>Num_Tests_ForCause</vt:lpstr>
      <vt:lpstr>Num_Tests_Preaccess</vt:lpstr>
      <vt:lpstr>Num_Tests_Total</vt:lpstr>
      <vt:lpstr>'Data '!Print_Area</vt:lpstr>
      <vt:lpstr>'FFD pgm &amp; sites'!Print_Area</vt:lpstr>
      <vt:lpstr>'Reactor Info'!Print_Area</vt:lpstr>
      <vt:lpstr>T1_1X_Rcdkping!Print_Area</vt:lpstr>
      <vt:lpstr>T2_Ann_Rcdkping!Print_Area</vt:lpstr>
      <vt:lpstr>T3_AnnRpting!Print_Area</vt:lpstr>
      <vt:lpstr>T4_Ann_3rdParty!Print_Area</vt:lpstr>
      <vt:lpstr>T5_Ann_NRC!Print_Area</vt:lpstr>
      <vt:lpstr>'Test Results'!Print_Area</vt:lpstr>
      <vt:lpstr>TOTALS!Print_Area</vt:lpstr>
      <vt:lpstr>T1_1X_Rcdkping!Print_Titles</vt:lpstr>
      <vt:lpstr>T2_Ann_Rcdkping!Print_Titles</vt:lpstr>
      <vt:lpstr>T3_AnnRpting!Print_Titles</vt:lpstr>
      <vt:lpstr>T4_Ann_3rdParty!Print_Titles</vt:lpstr>
      <vt:lpstr>T5_Ann_NRC!Print_Titles</vt:lpstr>
      <vt:lpstr>'Test Results'!Print_Titles</vt:lpstr>
      <vt:lpstr>RandomTestPop_Construction</vt:lpstr>
      <vt:lpstr>RandomTestPop_FullPrgm</vt:lpstr>
      <vt:lpstr>SubversionsPerYear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2017-08-23T15:33:11Z</dcterms:created>
  <dcterms:modified xsi:type="dcterms:W3CDTF">2024-08-01T11:34:36Z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0x010100435E4182BF399C4D82AC0CDCD5D75027</vt:lpwstr>
  </property>
</Properties>
</file>