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A03C9E8-BFF7-4E75-8029-4013DE2D7DCC}" xr6:coauthVersionLast="47" xr6:coauthVersionMax="47" xr10:uidLastSave="{00000000-0000-0000-0000-000000000000}"/>
  <bookViews>
    <workbookView xWindow="-110" yWindow="-110" windowWidth="19420" windowHeight="10300" xr2:uid="{00000000-000D-0000-FFFF-FFFF00000000}"/>
  </bookViews>
  <sheets>
    <sheet name="Summary" sheetId="7" r:id="rId1"/>
    <sheet name="Table 1a" sheetId="1" r:id="rId2"/>
    <sheet name="Table 1b" sheetId="3" r:id="rId3"/>
    <sheet name="Table 2" sheetId="2" r:id="rId4"/>
    <sheet name="Capital O&amp;M" sheetId="4" r:id="rId5"/>
    <sheet name="Responses" sheetId="6" r:id="rId6"/>
    <sheet name="Respondents"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1" l="1"/>
  <c r="F19" i="6"/>
  <c r="B7" i="7"/>
  <c r="L34" i="1"/>
  <c r="B5" i="7"/>
  <c r="L32" i="1"/>
  <c r="J6" i="4"/>
  <c r="I33" i="3" s="1"/>
  <c r="F6" i="4"/>
  <c r="C6" i="4"/>
  <c r="G8" i="5"/>
  <c r="G9" i="5"/>
  <c r="G7" i="5"/>
  <c r="E9" i="2"/>
  <c r="B6" i="7" l="1"/>
  <c r="G15" i="5"/>
  <c r="F15" i="5"/>
  <c r="E15" i="5"/>
  <c r="D15" i="5"/>
  <c r="C15" i="5"/>
  <c r="D10" i="5"/>
  <c r="E10" i="5"/>
  <c r="F10" i="5"/>
  <c r="C10" i="5"/>
  <c r="I33" i="1"/>
  <c r="H6" i="4"/>
  <c r="E6" i="4"/>
  <c r="G13" i="5"/>
  <c r="G14" i="5"/>
  <c r="G12" i="5"/>
  <c r="G10" i="5"/>
  <c r="G16" i="5" s="1"/>
  <c r="F17" i="6"/>
  <c r="F14" i="6"/>
  <c r="F15" i="6"/>
  <c r="F16" i="6"/>
  <c r="F13" i="6"/>
  <c r="F7" i="6"/>
  <c r="F6" i="6"/>
  <c r="F8" i="3"/>
  <c r="F27" i="3"/>
  <c r="E16" i="6"/>
  <c r="E15" i="6"/>
  <c r="E9" i="6"/>
  <c r="F9" i="6" s="1"/>
  <c r="E8" i="6"/>
  <c r="F8" i="6" s="1"/>
  <c r="B3" i="7" l="1"/>
  <c r="F10" i="6"/>
  <c r="D10" i="1" l="1"/>
  <c r="D28" i="3" l="1"/>
  <c r="F28" i="3" s="1"/>
  <c r="D27" i="3"/>
  <c r="D19" i="3"/>
  <c r="F19" i="3" s="1"/>
  <c r="G19" i="3" s="1"/>
  <c r="D18" i="3"/>
  <c r="F18" i="3" s="1"/>
  <c r="D17" i="3"/>
  <c r="F17" i="3" s="1"/>
  <c r="D16" i="3"/>
  <c r="F16" i="3" s="1"/>
  <c r="H16" i="3" s="1"/>
  <c r="D15" i="3"/>
  <c r="F15" i="3" s="1"/>
  <c r="G15" i="3" s="1"/>
  <c r="D14" i="3"/>
  <c r="F14" i="3" s="1"/>
  <c r="D10" i="3"/>
  <c r="F10" i="3" s="1"/>
  <c r="D8" i="3"/>
  <c r="H18" i="3" l="1"/>
  <c r="G18" i="3"/>
  <c r="H17" i="3"/>
  <c r="G17" i="3"/>
  <c r="G27" i="3"/>
  <c r="H27" i="3"/>
  <c r="H28" i="3"/>
  <c r="G28" i="3"/>
  <c r="I28" i="3" s="1"/>
  <c r="G8" i="3"/>
  <c r="H8" i="3"/>
  <c r="H10" i="3"/>
  <c r="G10" i="3"/>
  <c r="H14" i="3"/>
  <c r="G14" i="3"/>
  <c r="I14" i="3" s="1"/>
  <c r="H15" i="3"/>
  <c r="I15" i="3" s="1"/>
  <c r="G16" i="3"/>
  <c r="I16" i="3" s="1"/>
  <c r="H19" i="3"/>
  <c r="I19" i="3" s="1"/>
  <c r="F31" i="3" l="1"/>
  <c r="F32" i="3" s="1"/>
  <c r="F20" i="3"/>
  <c r="I8" i="3"/>
  <c r="I18" i="3"/>
  <c r="I17" i="3"/>
  <c r="I27" i="3"/>
  <c r="I31" i="3" s="1"/>
  <c r="I10" i="3"/>
  <c r="I20" i="3" l="1"/>
  <c r="I32" i="3" s="1"/>
  <c r="I34" i="3" s="1"/>
  <c r="D5" i="2" l="1"/>
  <c r="F5" i="2" s="1"/>
  <c r="D6" i="2"/>
  <c r="F6" i="2" s="1"/>
  <c r="D7" i="2"/>
  <c r="F7" i="2" s="1"/>
  <c r="G7" i="2" s="1"/>
  <c r="D8" i="2"/>
  <c r="F8" i="2" s="1"/>
  <c r="D9" i="2"/>
  <c r="F9" i="2" s="1"/>
  <c r="D4" i="2"/>
  <c r="F4" i="2" s="1"/>
  <c r="H4" i="2" l="1"/>
  <c r="G4" i="2"/>
  <c r="H6" i="2"/>
  <c r="G6" i="2"/>
  <c r="I6" i="2" s="1"/>
  <c r="H9" i="2"/>
  <c r="G9" i="2"/>
  <c r="I9" i="2" s="1"/>
  <c r="H5" i="2"/>
  <c r="G5" i="2"/>
  <c r="H8" i="2"/>
  <c r="H7" i="2"/>
  <c r="I7" i="2" s="1"/>
  <c r="G8" i="2"/>
  <c r="F10" i="1"/>
  <c r="D14" i="1"/>
  <c r="F14" i="1" s="1"/>
  <c r="D15" i="1"/>
  <c r="F15" i="1" s="1"/>
  <c r="D16" i="1"/>
  <c r="F16" i="1" s="1"/>
  <c r="D17" i="1"/>
  <c r="F17" i="1" s="1"/>
  <c r="D18" i="1"/>
  <c r="F18" i="1" s="1"/>
  <c r="D19" i="1"/>
  <c r="F19" i="1" s="1"/>
  <c r="D27" i="1"/>
  <c r="F27" i="1" s="1"/>
  <c r="D28" i="1"/>
  <c r="F28" i="1" s="1"/>
  <c r="D8" i="1"/>
  <c r="F8" i="1" s="1"/>
  <c r="I5" i="2" l="1"/>
  <c r="G15" i="1"/>
  <c r="H15" i="1"/>
  <c r="G18" i="1"/>
  <c r="H18" i="1"/>
  <c r="I18" i="1" s="1"/>
  <c r="H16" i="1"/>
  <c r="G16" i="1"/>
  <c r="G19" i="1"/>
  <c r="H19" i="1"/>
  <c r="G14" i="1"/>
  <c r="H14" i="1"/>
  <c r="G28" i="1"/>
  <c r="H28" i="1"/>
  <c r="G17" i="1"/>
  <c r="H17" i="1"/>
  <c r="G10" i="1"/>
  <c r="H10" i="1"/>
  <c r="G8" i="1"/>
  <c r="H8" i="1"/>
  <c r="F10" i="2"/>
  <c r="I4" i="2"/>
  <c r="I8" i="2"/>
  <c r="H27" i="1"/>
  <c r="G27" i="1"/>
  <c r="F31" i="1" s="1"/>
  <c r="F20" i="1" l="1"/>
  <c r="F32" i="1" s="1"/>
  <c r="L31" i="1" s="1"/>
  <c r="I16" i="1"/>
  <c r="I10" i="2"/>
  <c r="I17" i="1"/>
  <c r="I19" i="1"/>
  <c r="I28" i="1"/>
  <c r="I15" i="1"/>
  <c r="I27" i="1"/>
  <c r="I8" i="1"/>
  <c r="I10" i="1"/>
  <c r="I14" i="1"/>
  <c r="B2" i="7" l="1"/>
  <c r="B4" i="7"/>
  <c r="I20" i="1"/>
  <c r="I31" i="1"/>
  <c r="I32" i="1" l="1"/>
  <c r="I34" i="1" l="1"/>
</calcChain>
</file>

<file path=xl/sharedStrings.xml><?xml version="1.0" encoding="utf-8"?>
<sst xmlns="http://schemas.openxmlformats.org/spreadsheetml/2006/main" count="233" uniqueCount="131">
  <si>
    <t>Burden Item</t>
  </si>
  <si>
    <t>1.  Applications</t>
  </si>
  <si>
    <t>N/A</t>
  </si>
  <si>
    <t>2.  Survey and Studies</t>
  </si>
  <si>
    <t>3.  Reporting Requirements</t>
  </si>
  <si>
    <t xml:space="preserve">     B. Required activities</t>
  </si>
  <si>
    <t xml:space="preserve">     C. Create information on performance test</t>
  </si>
  <si>
    <t>See 3B</t>
  </si>
  <si>
    <t xml:space="preserve">     D. Gather existing information</t>
  </si>
  <si>
    <t>See 3E</t>
  </si>
  <si>
    <t xml:space="preserve">     E.  Write Report</t>
  </si>
  <si>
    <t xml:space="preserve">          Notification of physical and operational changes which may increase emission rates of any regulated pollutants</t>
  </si>
  <si>
    <t>4.  Recordkeeping Requirements</t>
  </si>
  <si>
    <t>See 4E</t>
  </si>
  <si>
    <t xml:space="preserve">     B.  Plan activities</t>
  </si>
  <si>
    <t xml:space="preserve">     C.  Implement activities</t>
  </si>
  <si>
    <t xml:space="preserve">     D.  Develop record system</t>
  </si>
  <si>
    <t xml:space="preserve">     E.  Time to enter information</t>
  </si>
  <si>
    <t xml:space="preserve">          Record of occurrence and duration of startup, shutdown, or malfunction; emissions monitoring system; and initial performance test results</t>
  </si>
  <si>
    <t xml:space="preserve">     F.  Time to train personnel</t>
  </si>
  <si>
    <t xml:space="preserve">     G.  Time for audits</t>
  </si>
  <si>
    <t>(A)
Technical person-hours per occurrence</t>
  </si>
  <si>
    <t>(B)
No. of occurrences  per respondent per year</t>
  </si>
  <si>
    <r>
      <t xml:space="preserve">(D)
Respondents per year </t>
    </r>
    <r>
      <rPr>
        <b/>
        <vertAlign val="superscript"/>
        <sz val="10"/>
        <color theme="1"/>
        <rFont val="Times New Roman"/>
        <family val="1"/>
      </rPr>
      <t>a</t>
    </r>
  </si>
  <si>
    <t>(E)
Technical hours per year
(E=CxD)</t>
  </si>
  <si>
    <t>(C)
Technical person-hours per respondent per year 
(C=AxB)</t>
  </si>
  <si>
    <t>(F)
Management hours per year (F=Ex0.05)</t>
  </si>
  <si>
    <t>(G)
Clerical hours per year
(G=Ex0.1)</t>
  </si>
  <si>
    <r>
      <t xml:space="preserve">(H)
Total cost per year ($) </t>
    </r>
    <r>
      <rPr>
        <b/>
        <vertAlign val="superscript"/>
        <sz val="10"/>
        <color theme="1"/>
        <rFont val="Times New Roman"/>
        <family val="1"/>
      </rPr>
      <t>b</t>
    </r>
  </si>
  <si>
    <t>Assumptions:</t>
  </si>
  <si>
    <r>
      <rPr>
        <vertAlign val="superscript"/>
        <sz val="10"/>
        <color theme="1"/>
        <rFont val="Times New Roman"/>
        <family val="1"/>
      </rPr>
      <t>d</t>
    </r>
    <r>
      <rPr>
        <sz val="10"/>
        <color theme="1"/>
        <rFont val="Times New Roman"/>
        <family val="1"/>
      </rPr>
      <t xml:space="preserve">  We assume this is a one-time-only cost.</t>
    </r>
  </si>
  <si>
    <t>Table 2: Average Annual EPA Burden and Cost – NSPS for Incinerators (40 CFR Part 60, Subpart E) (Renewal)</t>
  </si>
  <si>
    <t>Notification of physical and operational changes which may increase emission rates of any regulated pollutant</t>
  </si>
  <si>
    <t>(B)
No. of occurrences per respondent per year</t>
  </si>
  <si>
    <t>(C)
Technical person-hours per respondent per year
(C=AxB)</t>
  </si>
  <si>
    <t>(F)
Management hours per year 
(F=Ex0.05)</t>
  </si>
  <si>
    <t>(E)
Technical hours per year (E=CxD)</t>
  </si>
  <si>
    <t>(G)
Clerical hours per year (G=Ex0.10)</t>
  </si>
  <si>
    <r>
      <rPr>
        <vertAlign val="superscript"/>
        <sz val="10"/>
        <color theme="1"/>
        <rFont val="Times New Roman"/>
        <family val="1"/>
      </rPr>
      <t>f</t>
    </r>
    <r>
      <rPr>
        <sz val="10"/>
        <color theme="1"/>
        <rFont val="Times New Roman"/>
        <family val="1"/>
      </rPr>
      <t xml:space="preserve">  We assume it will take eight hours to review test results.</t>
    </r>
  </si>
  <si>
    <r>
      <t xml:space="preserve">Notification of construction/ reconstruction </t>
    </r>
    <r>
      <rPr>
        <vertAlign val="superscript"/>
        <sz val="10"/>
        <color rgb="FF000000"/>
        <rFont val="Times New Roman"/>
        <family val="1"/>
      </rPr>
      <t>c, d</t>
    </r>
  </si>
  <si>
    <r>
      <t xml:space="preserve">Notification of actual startup </t>
    </r>
    <r>
      <rPr>
        <vertAlign val="superscript"/>
        <sz val="10"/>
        <color rgb="FF000000"/>
        <rFont val="Times New Roman"/>
        <family val="1"/>
      </rPr>
      <t>c, d</t>
    </r>
  </si>
  <si>
    <r>
      <t xml:space="preserve">Compliance status report </t>
    </r>
    <r>
      <rPr>
        <vertAlign val="superscript"/>
        <sz val="10"/>
        <color rgb="FF000000"/>
        <rFont val="Times New Roman"/>
        <family val="1"/>
      </rPr>
      <t>e</t>
    </r>
  </si>
  <si>
    <r>
      <t>Test results</t>
    </r>
    <r>
      <rPr>
        <vertAlign val="superscript"/>
        <sz val="10"/>
        <color rgb="FF000000"/>
        <rFont val="Times New Roman"/>
        <family val="1"/>
      </rPr>
      <t xml:space="preserve"> e, f</t>
    </r>
  </si>
  <si>
    <r>
      <rPr>
        <vertAlign val="superscript"/>
        <sz val="10"/>
        <color theme="1"/>
        <rFont val="Times New Roman"/>
        <family val="1"/>
      </rPr>
      <t>c</t>
    </r>
    <r>
      <rPr>
        <sz val="10"/>
        <color theme="1"/>
        <rFont val="Times New Roman"/>
        <family val="1"/>
      </rPr>
      <t xml:space="preserve">  We assume there will be no new, modified, or reconstructed facilities constructed over the next three years.</t>
    </r>
  </si>
  <si>
    <t>Labor Rates</t>
  </si>
  <si>
    <t>Management</t>
  </si>
  <si>
    <t>Technical</t>
  </si>
  <si>
    <t>Clerical</t>
  </si>
  <si>
    <t>Table 1a: Annual Respondent Burden and Cost for Privately-Owned Incinerators – NSPS for Incinerators (40 CFR Part 60, Subpart E) (Renewal)</t>
  </si>
  <si>
    <t>Table 1b: Annual Respondent Burden and Cost for Publicly-Owned Incinerators – NSPS for Incinerators (40 CFR Part 60, Subpart E) (Renewal)</t>
  </si>
  <si>
    <t>Subtotal for Reporting Requirements</t>
  </si>
  <si>
    <t>Subtotal for Recordkeeping Requirements</t>
  </si>
  <si>
    <r>
      <rPr>
        <vertAlign val="superscript"/>
        <sz val="10"/>
        <color theme="1"/>
        <rFont val="Times New Roman"/>
        <family val="1"/>
      </rPr>
      <t>e</t>
    </r>
    <r>
      <rPr>
        <sz val="10"/>
        <color theme="1"/>
        <rFont val="Times New Roman"/>
        <family val="1"/>
      </rPr>
      <t xml:space="preserve">  This rule does not require semiannual or annual reporting, only recordkeeping.</t>
    </r>
  </si>
  <si>
    <r>
      <t xml:space="preserve">TOTAL (rounded) </t>
    </r>
    <r>
      <rPr>
        <b/>
        <vertAlign val="superscript"/>
        <sz val="10"/>
        <color rgb="FF000000"/>
        <rFont val="Times New Roman"/>
        <family val="1"/>
      </rPr>
      <t xml:space="preserve">h </t>
    </r>
  </si>
  <si>
    <r>
      <t xml:space="preserve">Audit and review facility records </t>
    </r>
    <r>
      <rPr>
        <vertAlign val="superscript"/>
        <sz val="10"/>
        <color rgb="FF000000"/>
        <rFont val="Times New Roman"/>
        <family val="1"/>
      </rPr>
      <t xml:space="preserve">g </t>
    </r>
  </si>
  <si>
    <r>
      <rPr>
        <vertAlign val="superscript"/>
        <sz val="10"/>
        <color theme="1"/>
        <rFont val="Times New Roman"/>
        <family val="1"/>
      </rPr>
      <t>c</t>
    </r>
    <r>
      <rPr>
        <sz val="10"/>
        <color theme="1"/>
        <rFont val="Times New Roman"/>
        <family val="1"/>
      </rPr>
      <t xml:space="preserve">  We assume that all sources will have to familiarize themselves with regulatory requirements each year.</t>
    </r>
  </si>
  <si>
    <r>
      <t xml:space="preserve">     A. Familiarize with regulatory requirements </t>
    </r>
    <r>
      <rPr>
        <vertAlign val="superscript"/>
        <sz val="10"/>
        <color rgb="FF000000"/>
        <rFont val="Times New Roman"/>
        <family val="1"/>
      </rPr>
      <t>c</t>
    </r>
  </si>
  <si>
    <r>
      <t xml:space="preserve">          Initial performance test </t>
    </r>
    <r>
      <rPr>
        <vertAlign val="superscript"/>
        <sz val="10"/>
        <color rgb="FF000000"/>
        <rFont val="Times New Roman"/>
        <family val="1"/>
      </rPr>
      <t>d, e</t>
    </r>
  </si>
  <si>
    <r>
      <t xml:space="preserve">GRAND TOTAL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</si>
  <si>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</si>
  <si>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Total Labor Burden and Costs (rounded) </t>
    </r>
    <r>
      <rPr>
        <b/>
        <vertAlign val="superscript"/>
        <sz val="10"/>
        <color theme="1"/>
        <rFont val="Times New Roman"/>
        <family val="1"/>
      </rPr>
      <t>h</t>
    </r>
  </si>
  <si>
    <r>
      <t xml:space="preserve">          Notification of construction/ reconstruction </t>
    </r>
    <r>
      <rPr>
        <vertAlign val="superscript"/>
        <sz val="10"/>
        <color rgb="FF000000"/>
        <rFont val="Times New Roman"/>
        <family val="1"/>
      </rPr>
      <t>d</t>
    </r>
  </si>
  <si>
    <r>
      <t xml:space="preserve">          Notification of actual startup </t>
    </r>
    <r>
      <rPr>
        <vertAlign val="superscript"/>
        <sz val="10"/>
        <color rgb="FF000000"/>
        <rFont val="Times New Roman"/>
        <family val="1"/>
      </rPr>
      <t>d</t>
    </r>
  </si>
  <si>
    <r>
      <t xml:space="preserve">          Notification of initial performance test </t>
    </r>
    <r>
      <rPr>
        <vertAlign val="superscript"/>
        <sz val="10"/>
        <color rgb="FF000000"/>
        <rFont val="Times New Roman"/>
        <family val="1"/>
      </rPr>
      <t>d</t>
    </r>
  </si>
  <si>
    <r>
      <t xml:space="preserve">          Report of initial performance test results </t>
    </r>
    <r>
      <rPr>
        <vertAlign val="superscript"/>
        <sz val="10"/>
        <color rgb="FF000000"/>
        <rFont val="Times New Roman"/>
        <family val="1"/>
      </rPr>
      <t>d</t>
    </r>
  </si>
  <si>
    <r>
      <t xml:space="preserve">          Compliance status reports </t>
    </r>
    <r>
      <rPr>
        <vertAlign val="superscript"/>
        <sz val="10"/>
        <color rgb="FF000000"/>
        <rFont val="Times New Roman"/>
        <family val="1"/>
      </rPr>
      <t>f</t>
    </r>
  </si>
  <si>
    <r>
      <rPr>
        <vertAlign val="superscript"/>
        <sz val="10"/>
        <color theme="1"/>
        <rFont val="Times New Roman"/>
        <family val="1"/>
      </rPr>
      <t>f</t>
    </r>
    <r>
      <rPr>
        <sz val="10"/>
        <color theme="1"/>
        <rFont val="Times New Roman"/>
        <family val="1"/>
      </rPr>
      <t xml:space="preserve">  This rule does not require semiannual reporting, just recordkeeping.</t>
    </r>
  </si>
  <si>
    <r>
      <t xml:space="preserve">          Records of daily charging rates and hours of operation </t>
    </r>
    <r>
      <rPr>
        <vertAlign val="superscript"/>
        <sz val="10"/>
        <color rgb="FF000000"/>
        <rFont val="Times New Roman"/>
        <family val="1"/>
      </rPr>
      <t>g</t>
    </r>
  </si>
  <si>
    <r>
      <rPr>
        <vertAlign val="superscript"/>
        <sz val="10"/>
        <color theme="1"/>
        <rFont val="Times New Roman"/>
        <family val="1"/>
      </rPr>
      <t>g</t>
    </r>
    <r>
      <rPr>
        <sz val="10"/>
        <color theme="1"/>
        <rFont val="Times New Roman"/>
        <family val="1"/>
      </rPr>
      <t xml:space="preserve">  We assume it will take 0.25 hours per day over 350 days per year to record daily charging rates.</t>
    </r>
  </si>
  <si>
    <r>
      <rPr>
        <vertAlign val="superscript"/>
        <sz val="10"/>
        <color theme="1"/>
        <rFont val="Times New Roman"/>
        <family val="1"/>
      </rPr>
      <t>e</t>
    </r>
    <r>
      <rPr>
        <sz val="10"/>
        <color theme="1"/>
        <rFont val="Times New Roman"/>
        <family val="1"/>
      </rPr>
      <t xml:space="preserve">  We assume it takes 60 technical hours for pretests/test preparation, 60 technical hours for testing, and 80 technical hours for analysis and report preparation.</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</si>
  <si>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</si>
  <si>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t>Capital/Startup vs. Operation and Maintenance (O&amp;M) Costs</t>
  </si>
  <si>
    <t>(A)</t>
  </si>
  <si>
    <t>Continuous Monitoring Device</t>
  </si>
  <si>
    <t>(B)</t>
  </si>
  <si>
    <t>(C)</t>
  </si>
  <si>
    <t xml:space="preserve">Number of New Respondents </t>
  </si>
  <si>
    <t>(D)</t>
  </si>
  <si>
    <t>Total Capital/Startup Cost, (B X C)</t>
  </si>
  <si>
    <t>(E)</t>
  </si>
  <si>
    <t>(F)</t>
  </si>
  <si>
    <t>Number of Respondents with O&amp;M</t>
  </si>
  <si>
    <t>(G)</t>
  </si>
  <si>
    <t>Particulate matter</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</si>
  <si>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</si>
  <si>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</si>
  <si>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</si>
  <si>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</si>
  <si>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</si>
  <si>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</si>
  <si>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</si>
  <si>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</si>
  <si>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</si>
  <si>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Number of Respondents (E=A+B+C-D)</t>
  </si>
  <si>
    <t>Total Annual Responses</t>
  </si>
  <si>
    <t>Information Collection Activity</t>
  </si>
  <si>
    <t>Number of Responses</t>
  </si>
  <si>
    <t>Number of Existing Respondents That Keep Records But Do Not Submit Reports</t>
  </si>
  <si>
    <t>Privately-Owned</t>
  </si>
  <si>
    <t>Notification reports</t>
  </si>
  <si>
    <t>Compliance reports</t>
  </si>
  <si>
    <t>Records of startup, shutdown, and malfunction (SSM), emissions monitoring system, and initial performance test results</t>
  </si>
  <si>
    <t>Records of daily charging rates and hours of operation</t>
  </si>
  <si>
    <t>Total</t>
  </si>
  <si>
    <t>Grand Total</t>
  </si>
  <si>
    <t>Total Annual Responses E=(BxC)+D</t>
  </si>
  <si>
    <t>hr/response</t>
  </si>
  <si>
    <t>total labor hours</t>
  </si>
  <si>
    <t>total labor cost</t>
  </si>
  <si>
    <r>
      <rPr>
        <vertAlign val="superscript"/>
        <sz val="10"/>
        <color theme="1"/>
        <rFont val="Times New Roman"/>
        <family val="1"/>
      </rPr>
      <t>g</t>
    </r>
    <r>
      <rPr>
        <sz val="10"/>
        <color theme="1"/>
        <rFont val="Times New Roman"/>
        <family val="1"/>
      </rPr>
      <t xml:space="preserve">  Assumes EPA will audit records for approximately 10% of facilities.</t>
    </r>
  </si>
  <si>
    <t>Summary</t>
  </si>
  <si>
    <t>Publicly-Owned</t>
  </si>
  <si>
    <t>labor + O&amp;M cost</t>
  </si>
  <si>
    <t>ICR Summary Information</t>
  </si>
  <si>
    <t>Hours per Response</t>
  </si>
  <si>
    <t>Total Estimated Burden Hours</t>
  </si>
  <si>
    <t>Total Estimated Costs</t>
  </si>
  <si>
    <t>Annualized Capital O&amp;M</t>
  </si>
  <si>
    <t>Form Number</t>
  </si>
  <si>
    <t>Not Applicable</t>
  </si>
  <si>
    <r>
      <t>b</t>
    </r>
    <r>
      <rPr>
        <sz val="10"/>
        <color theme="1"/>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</si>
  <si>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theme="1"/>
        <rFont val="Times New Roman"/>
        <family val="1"/>
      </rPr>
      <t xml:space="preserve">  This cost is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</si>
  <si>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t>Average</t>
  </si>
  <si>
    <r>
      <rPr>
        <vertAlign val="superscript"/>
        <sz val="10"/>
        <color theme="1"/>
        <rFont val="Times New Roman"/>
        <family val="1"/>
      </rPr>
      <t>a</t>
    </r>
    <r>
      <rPr>
        <sz val="10"/>
        <color theme="1"/>
        <rFont val="Times New Roman"/>
        <family val="1"/>
      </rPr>
      <t xml:space="preserve">  We estimate that an average of 36 existing respondents per year will be subject to the rule, and that no new, modified, or reconstructed facilities will become subject over the three-year period of this ICR. We estimate 20 (55.5 percent) respondents are privately owned and 16 (44.4 percent) are publicly owned.</t>
    </r>
  </si>
  <si>
    <r>
      <rPr>
        <vertAlign val="superscript"/>
        <sz val="10"/>
        <rFont val="Times New Roman"/>
        <family val="1"/>
      </rPr>
      <t>a</t>
    </r>
    <r>
      <rPr>
        <sz val="10"/>
        <rFont val="Times New Roman"/>
        <family val="1"/>
      </rPr>
      <t xml:space="preserve">  We estimate that an average of 36 existing respondents per year will be subject to the rule, and that no new, modified, or reconstructed facilities will become subject over the three-year period of this ICR. We estimate 21 (58.6 percent) respondents are privately owned and 16 (43.2 percent) are publicly owned.</t>
    </r>
  </si>
  <si>
    <r>
      <rPr>
        <vertAlign val="superscript"/>
        <sz val="10"/>
        <color rgb="FF000000"/>
        <rFont val="Times New Roman"/>
        <family val="1"/>
      </rPr>
      <t>a</t>
    </r>
    <r>
      <rPr>
        <sz val="10"/>
        <color rgb="FF000000"/>
        <rFont val="Times New Roman"/>
        <family val="1"/>
      </rPr>
      <t xml:space="preserve"> Assume that annual captial/startup costs for the PM CMS are $6,738 (Docket Document Number EPA-HQ-OECA-2006-0709, page 10). Costs have been increased from 2007 to 2021 $ using the CEPCI Equipment Cost Index.</t>
    </r>
    <r>
      <rPr>
        <sz val="10"/>
        <color theme="1"/>
        <rFont val="Times New Roman"/>
        <family val="1"/>
      </rPr>
      <t xml:space="preserve"> </t>
    </r>
  </si>
  <si>
    <r>
      <rPr>
        <vertAlign val="superscript"/>
        <sz val="10"/>
        <color rgb="FF000000"/>
        <rFont val="Times New Roman"/>
        <family val="1"/>
      </rPr>
      <t>b</t>
    </r>
    <r>
      <rPr>
        <sz val="10"/>
        <color rgb="FF000000"/>
        <rFont val="Times New Roman"/>
        <family val="1"/>
      </rPr>
      <t xml:space="preserve"> Assume that annual O&amp;M costs for the PM CMS are $3,532 (Docket Document Number EPA-HQ-OECA-2006-0709, page 10). Costs have been increased from 2018 to 2021 $ using the CEPCI Equipment Cost Index.</t>
    </r>
    <r>
      <rPr>
        <sz val="10"/>
        <color theme="1"/>
        <rFont val="Times New Roman"/>
        <family val="1"/>
      </rPr>
      <t xml:space="preserve"> </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</si>
  <si>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</si>
  <si>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Capital/Startup Cost for One Respondent </t>
    </r>
    <r>
      <rPr>
        <vertAlign val="superscript"/>
        <sz val="10"/>
        <color rgb="FF000000"/>
        <rFont val="Times New Roman"/>
        <family val="1"/>
      </rPr>
      <t>a</t>
    </r>
  </si>
  <si>
    <r>
      <t xml:space="preserve">Annual O&amp;M Costs for One Respondent </t>
    </r>
    <r>
      <rPr>
        <vertAlign val="superscript"/>
        <sz val="10"/>
        <color rgb="FF000000"/>
        <rFont val="Times New Roman"/>
        <family val="1"/>
      </rPr>
      <t>b</t>
    </r>
  </si>
  <si>
    <r>
      <t xml:space="preserve">Total O&amp;M, 
(E X F) </t>
    </r>
    <r>
      <rPr>
        <vertAlign val="superscript"/>
        <sz val="10"/>
        <color rgb="FF000000"/>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</si>
</sst>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_(&quot;$&quot;* #,##0_);_(&quot;$&quot;* \(#,##0\);_(&quot;$&quot;* &quot;-&quot;??_);_(@_)"/>
  </numFmts>
  <fonts count="23"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2"/>
      <color theme="1"/>
      <name val="Times New Roman"/>
      <family val="1"/>
    </font>
    <font>
      <vertAlign val="superscript"/>
      <sz val="10"/>
      <color theme="1"/>
      <name val="Times New Roman"/>
      <family val="1"/>
    </font>
    <font>
      <b/>
      <vertAlign val="superscript"/>
      <sz val="10"/>
      <color rgb="FF000000"/>
      <name val="Times New Roman"/>
      <family val="1"/>
    </font>
    <font>
      <b/>
      <i/>
      <sz val="10"/>
      <color rgb="FF000000"/>
      <name val="Times New Roman"/>
      <family val="1"/>
    </font>
    <font>
      <sz val="10"/>
      <name val="Times New Roman"/>
      <family val="1"/>
    </font>
    <font>
      <sz val="12"/>
      <color rgb="FF000000"/>
      <name val="Times New Roman"/>
      <family val="1"/>
    </font>
    <font>
      <b/>
      <sz val="12"/>
      <color rgb="FF000000"/>
      <name val="Times New Roman"/>
      <family val="1"/>
    </font>
    <font>
      <sz val="9"/>
      <color rgb="FF000000"/>
      <name val="Times New Roman"/>
      <family val="1"/>
    </font>
    <font>
      <vertAlign val="superscript"/>
      <sz val="12"/>
      <color rgb="FF000000"/>
      <name val="Times New Roman"/>
      <family val="1"/>
    </font>
    <font>
      <sz val="10"/>
      <color rgb="FFFF0000"/>
      <name val="Times New Roman"/>
      <family val="1"/>
    </font>
    <font>
      <b/>
      <sz val="9"/>
      <color rgb="FF000000"/>
      <name val="Times New Roman"/>
      <family val="1"/>
    </font>
    <font>
      <b/>
      <sz val="9"/>
      <color theme="1"/>
      <name val="Times New Roman"/>
      <family val="1"/>
    </font>
    <font>
      <sz val="9"/>
      <color theme="1"/>
      <name val="Times New Roman"/>
      <family val="1"/>
    </font>
    <font>
      <sz val="11"/>
      <color theme="1"/>
      <name val="Calibri"/>
      <family val="2"/>
      <scheme val="minor"/>
    </font>
    <font>
      <vertAlign val="superscript"/>
      <sz val="1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21" fillId="0" borderId="0" applyFont="0" applyFill="0" applyBorder="0" applyAlignment="0" applyProtection="0"/>
  </cellStyleXfs>
  <cellXfs count="66">
    <xf numFmtId="0" fontId="0" fillId="0" borderId="0" xfId="0"/>
    <xf numFmtId="0" fontId="1" fillId="0" borderId="0" xfId="0" applyFont="1"/>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vertical="center" wrapText="1"/>
    </xf>
    <xf numFmtId="3" fontId="5"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8" fontId="5" fillId="0" borderId="1" xfId="0" applyNumberFormat="1" applyFont="1" applyBorder="1" applyAlignment="1">
      <alignment horizontal="center" vertical="center" wrapText="1"/>
    </xf>
    <xf numFmtId="0" fontId="3" fillId="0" borderId="0" xfId="0" applyFont="1"/>
    <xf numFmtId="164" fontId="5" fillId="0" borderId="1" xfId="0" applyNumberFormat="1" applyFont="1" applyBorder="1" applyAlignment="1">
      <alignment horizontal="center" vertical="center" wrapText="1"/>
    </xf>
    <xf numFmtId="0" fontId="8" fillId="0" borderId="0" xfId="0" applyFont="1"/>
    <xf numFmtId="0" fontId="5" fillId="0" borderId="1" xfId="0" applyFont="1" applyBorder="1" applyAlignment="1">
      <alignment vertical="center" wrapText="1"/>
    </xf>
    <xf numFmtId="6" fontId="5" fillId="0" borderId="1" xfId="0" applyNumberFormat="1" applyFont="1" applyBorder="1" applyAlignment="1">
      <alignment horizontal="right" vertical="center" wrapText="1" indent="1"/>
    </xf>
    <xf numFmtId="6" fontId="7" fillId="0" borderId="1" xfId="0" applyNumberFormat="1" applyFont="1" applyBorder="1" applyAlignment="1">
      <alignment horizontal="right" vertical="center" wrapText="1" indent="1"/>
    </xf>
    <xf numFmtId="0" fontId="3" fillId="0" borderId="1" xfId="0" applyFont="1" applyBorder="1" applyAlignment="1">
      <alignment vertical="center" wrapText="1"/>
    </xf>
    <xf numFmtId="0" fontId="7" fillId="0" borderId="1" xfId="0" applyFont="1" applyBorder="1"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vertical="center"/>
    </xf>
    <xf numFmtId="0" fontId="3" fillId="0" borderId="1" xfId="0" applyFont="1" applyBorder="1" applyAlignment="1">
      <alignment wrapText="1"/>
    </xf>
    <xf numFmtId="6" fontId="0" fillId="0" borderId="0" xfId="0" applyNumberFormat="1"/>
    <xf numFmtId="3" fontId="0" fillId="0" borderId="0" xfId="0" applyNumberFormat="1"/>
    <xf numFmtId="0" fontId="16" fillId="0" borderId="0" xfId="0" applyFont="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3" fontId="0" fillId="0" borderId="5" xfId="0" applyNumberFormat="1" applyBorder="1"/>
    <xf numFmtId="0" fontId="0" fillId="0" borderId="6" xfId="0" applyBorder="1"/>
    <xf numFmtId="6" fontId="0" fillId="0" borderId="5" xfId="0" applyNumberFormat="1" applyBorder="1"/>
    <xf numFmtId="0" fontId="0" fillId="0" borderId="7" xfId="0" applyBorder="1"/>
    <xf numFmtId="0" fontId="0" fillId="0" borderId="8" xfId="0" applyBorder="1"/>
    <xf numFmtId="0" fontId="0" fillId="0" borderId="9" xfId="0" applyBorder="1"/>
    <xf numFmtId="0" fontId="18" fillId="0" borderId="1" xfId="0" applyFont="1" applyBorder="1" applyAlignment="1">
      <alignment horizontal="center" vertical="center" wrapText="1"/>
    </xf>
    <xf numFmtId="1" fontId="0" fillId="0" borderId="0" xfId="0" applyNumberFormat="1"/>
    <xf numFmtId="0" fontId="0" fillId="0" borderId="0" xfId="0" applyAlignment="1">
      <alignment horizontal="right"/>
    </xf>
    <xf numFmtId="166" fontId="5" fillId="0" borderId="1" xfId="1" applyNumberFormat="1" applyFont="1" applyBorder="1" applyAlignment="1">
      <alignment horizontal="center" vertical="center" wrapText="1"/>
    </xf>
    <xf numFmtId="165" fontId="12" fillId="0" borderId="1" xfId="0" applyNumberFormat="1" applyFont="1" applyBorder="1"/>
    <xf numFmtId="3" fontId="2" fillId="0" borderId="0" xfId="0" applyNumberFormat="1" applyFont="1"/>
    <xf numFmtId="0" fontId="13" fillId="0" borderId="0" xfId="0" applyFont="1" applyAlignment="1">
      <alignment vertical="center"/>
    </xf>
    <xf numFmtId="0" fontId="2" fillId="0" borderId="0" xfId="0" applyFont="1" applyAlignment="1">
      <alignment vertical="center"/>
    </xf>
    <xf numFmtId="0" fontId="0" fillId="0" borderId="0" xfId="0" applyAlignment="1">
      <alignment horizontal="center"/>
    </xf>
    <xf numFmtId="0" fontId="2" fillId="0" borderId="0" xfId="0" applyFont="1" applyAlignment="1">
      <alignment horizontal="left" vertical="top" wrapText="1"/>
    </xf>
    <xf numFmtId="0" fontId="12" fillId="0" borderId="1" xfId="0" applyFont="1" applyBorder="1" applyAlignment="1">
      <alignment horizontal="center"/>
    </xf>
    <xf numFmtId="1"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9" fillId="0" borderId="0" xfId="0" applyFont="1" applyAlignment="1">
      <alignment vertical="center" wrapText="1"/>
    </xf>
    <xf numFmtId="0" fontId="12" fillId="0" borderId="0" xfId="0" applyFont="1" applyAlignment="1">
      <alignment horizontal="left" vertical="top" wrapText="1"/>
    </xf>
    <xf numFmtId="0" fontId="13" fillId="0" borderId="0" xfId="0" applyFont="1" applyAlignment="1">
      <alignment vertical="center" wrapText="1"/>
    </xf>
    <xf numFmtId="0" fontId="14" fillId="0" borderId="0" xfId="0" applyFont="1" applyAlignment="1">
      <alignment horizontal="center" vertical="center" wrapText="1"/>
    </xf>
    <xf numFmtId="0" fontId="5" fillId="0" borderId="0" xfId="0" applyFont="1" applyAlignment="1">
      <alignment horizontal="left" vertical="top" wrapText="1"/>
    </xf>
    <xf numFmtId="0" fontId="1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7546-A8ED-486B-B636-BB948A8CFCF3}">
  <dimension ref="A1:B8"/>
  <sheetViews>
    <sheetView tabSelected="1" workbookViewId="0">
      <selection activeCell="B5" sqref="B5"/>
    </sheetView>
  </sheetViews>
  <sheetFormatPr defaultRowHeight="14.5" x14ac:dyDescent="0.35"/>
  <cols>
    <col min="1" max="1" width="25.7265625" bestFit="1" customWidth="1"/>
    <col min="2" max="2" width="12.81640625" bestFit="1" customWidth="1"/>
  </cols>
  <sheetData>
    <row r="1" spans="1:2" x14ac:dyDescent="0.35">
      <c r="A1" s="49" t="s">
        <v>113</v>
      </c>
      <c r="B1" s="49"/>
    </row>
    <row r="2" spans="1:2" x14ac:dyDescent="0.35">
      <c r="A2" t="s">
        <v>114</v>
      </c>
      <c r="B2" s="24">
        <f>'Table 1a'!L33</f>
        <v>52</v>
      </c>
    </row>
    <row r="3" spans="1:2" x14ac:dyDescent="0.35">
      <c r="A3" t="s">
        <v>84</v>
      </c>
      <c r="B3">
        <f>Respondents!G16</f>
        <v>36</v>
      </c>
    </row>
    <row r="4" spans="1:2" x14ac:dyDescent="0.35">
      <c r="A4" t="s">
        <v>115</v>
      </c>
      <c r="B4" s="24">
        <f>'Table 1a'!L31</f>
        <v>3730</v>
      </c>
    </row>
    <row r="5" spans="1:2" x14ac:dyDescent="0.35">
      <c r="A5" t="s">
        <v>116</v>
      </c>
      <c r="B5" s="23">
        <f>'Table 1a'!I34+'Table 1b'!I34</f>
        <v>462000</v>
      </c>
    </row>
    <row r="6" spans="1:2" x14ac:dyDescent="0.35">
      <c r="A6" t="s">
        <v>117</v>
      </c>
      <c r="B6" s="23">
        <f>'Capital O&amp;M'!J6</f>
        <v>127000</v>
      </c>
    </row>
    <row r="7" spans="1:2" x14ac:dyDescent="0.35">
      <c r="A7" t="s">
        <v>94</v>
      </c>
      <c r="B7" s="42">
        <f>Responses!F19</f>
        <v>72</v>
      </c>
    </row>
    <row r="8" spans="1:2" x14ac:dyDescent="0.35">
      <c r="A8" t="s">
        <v>118</v>
      </c>
      <c r="B8" s="43" t="s">
        <v>119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opLeftCell="A24" workbookViewId="0">
      <selection activeCell="L34" sqref="L34"/>
    </sheetView>
  </sheetViews>
  <sheetFormatPr defaultRowHeight="14.5" x14ac:dyDescent="0.35"/>
  <cols>
    <col min="1" max="1" width="50.7265625" customWidth="1"/>
    <col min="2" max="2" width="10.54296875" customWidth="1"/>
    <col min="3" max="3" width="10.7265625" customWidth="1"/>
    <col min="5" max="5" width="11.453125" customWidth="1"/>
    <col min="9" max="9" width="11.26953125" customWidth="1"/>
    <col min="11" max="11" width="11" bestFit="1" customWidth="1"/>
    <col min="12" max="12" width="11.26953125" customWidth="1"/>
  </cols>
  <sheetData>
    <row r="1" spans="1:12" ht="15.5" x14ac:dyDescent="0.35">
      <c r="A1" s="14" t="s">
        <v>48</v>
      </c>
    </row>
    <row r="2" spans="1:12" x14ac:dyDescent="0.35">
      <c r="A2" s="1"/>
    </row>
    <row r="4" spans="1:12" ht="91" x14ac:dyDescent="0.35">
      <c r="A4" s="2" t="s">
        <v>0</v>
      </c>
      <c r="B4" s="2" t="s">
        <v>21</v>
      </c>
      <c r="C4" s="2" t="s">
        <v>22</v>
      </c>
      <c r="D4" s="2" t="s">
        <v>25</v>
      </c>
      <c r="E4" s="2" t="s">
        <v>23</v>
      </c>
      <c r="F4" s="2" t="s">
        <v>24</v>
      </c>
      <c r="G4" s="2" t="s">
        <v>26</v>
      </c>
      <c r="H4" s="2" t="s">
        <v>27</v>
      </c>
      <c r="I4" s="2" t="s">
        <v>28</v>
      </c>
    </row>
    <row r="5" spans="1:12" x14ac:dyDescent="0.35">
      <c r="A5" s="9" t="s">
        <v>1</v>
      </c>
      <c r="B5" s="3" t="s">
        <v>2</v>
      </c>
      <c r="C5" s="3"/>
      <c r="D5" s="3"/>
      <c r="E5" s="3"/>
      <c r="F5" s="3"/>
      <c r="G5" s="3"/>
      <c r="H5" s="3"/>
      <c r="I5" s="3"/>
      <c r="K5" s="51" t="s">
        <v>44</v>
      </c>
      <c r="L5" s="51"/>
    </row>
    <row r="6" spans="1:12" x14ac:dyDescent="0.35">
      <c r="A6" s="9" t="s">
        <v>3</v>
      </c>
      <c r="B6" s="3" t="s">
        <v>2</v>
      </c>
      <c r="C6" s="3"/>
      <c r="D6" s="3"/>
      <c r="E6" s="3"/>
      <c r="F6" s="3"/>
      <c r="G6" s="3"/>
      <c r="H6" s="3"/>
      <c r="I6" s="3"/>
      <c r="K6" s="21" t="s">
        <v>45</v>
      </c>
      <c r="L6" s="45">
        <v>157.60499999999999</v>
      </c>
    </row>
    <row r="7" spans="1:12" x14ac:dyDescent="0.35">
      <c r="A7" s="9" t="s">
        <v>4</v>
      </c>
      <c r="B7" s="3"/>
      <c r="C7" s="3"/>
      <c r="D7" s="3"/>
      <c r="E7" s="3"/>
      <c r="F7" s="3"/>
      <c r="G7" s="3"/>
      <c r="H7" s="3"/>
      <c r="I7" s="3"/>
      <c r="K7" s="21" t="s">
        <v>46</v>
      </c>
      <c r="L7" s="45">
        <v>123.94200000000001</v>
      </c>
    </row>
    <row r="8" spans="1:12" ht="15.5" x14ac:dyDescent="0.35">
      <c r="A8" s="9" t="s">
        <v>56</v>
      </c>
      <c r="B8" s="3">
        <v>1</v>
      </c>
      <c r="C8" s="3">
        <v>1</v>
      </c>
      <c r="D8" s="3">
        <f>B8*C8</f>
        <v>1</v>
      </c>
      <c r="E8" s="3">
        <v>20</v>
      </c>
      <c r="F8" s="3">
        <f>+D8*E8</f>
        <v>20</v>
      </c>
      <c r="G8" s="3">
        <f>F8*0.05</f>
        <v>1</v>
      </c>
      <c r="H8" s="3">
        <f>+F8*0.1</f>
        <v>2</v>
      </c>
      <c r="I8" s="11">
        <f>+$L$7*F8+$L$6*G8+$L$8*H8</f>
        <v>2761.4790000000003</v>
      </c>
      <c r="K8" s="21" t="s">
        <v>47</v>
      </c>
      <c r="L8" s="45">
        <v>62.517000000000003</v>
      </c>
    </row>
    <row r="9" spans="1:12" x14ac:dyDescent="0.35">
      <c r="A9" s="9" t="s">
        <v>5</v>
      </c>
      <c r="B9" s="7"/>
      <c r="C9" s="7"/>
      <c r="D9" s="3"/>
      <c r="E9" s="7"/>
      <c r="F9" s="3"/>
      <c r="G9" s="3"/>
      <c r="H9" s="3"/>
      <c r="I9" s="6"/>
    </row>
    <row r="10" spans="1:12" ht="15.5" x14ac:dyDescent="0.35">
      <c r="A10" s="9" t="s">
        <v>57</v>
      </c>
      <c r="B10" s="3">
        <v>200</v>
      </c>
      <c r="C10" s="3">
        <v>1</v>
      </c>
      <c r="D10" s="3">
        <f>B10*C10</f>
        <v>200</v>
      </c>
      <c r="E10" s="3">
        <v>0</v>
      </c>
      <c r="F10" s="3">
        <f t="shared" ref="F10:F19" si="0">+D10*E10</f>
        <v>0</v>
      </c>
      <c r="G10" s="3">
        <f t="shared" ref="G10:G19" si="1">F10*0.05</f>
        <v>0</v>
      </c>
      <c r="H10" s="3">
        <f t="shared" ref="H10:H19" si="2">+F10*0.1</f>
        <v>0</v>
      </c>
      <c r="I10" s="6">
        <f>+$L$7*F10+$L$6*G10+$L$8*H10</f>
        <v>0</v>
      </c>
    </row>
    <row r="11" spans="1:12" x14ac:dyDescent="0.35">
      <c r="A11" s="9" t="s">
        <v>6</v>
      </c>
      <c r="B11" s="3" t="s">
        <v>7</v>
      </c>
      <c r="C11" s="7"/>
      <c r="D11" s="3"/>
      <c r="E11" s="7"/>
      <c r="F11" s="3"/>
      <c r="G11" s="3"/>
      <c r="H11" s="3"/>
      <c r="I11" s="6"/>
    </row>
    <row r="12" spans="1:12" x14ac:dyDescent="0.35">
      <c r="A12" s="9" t="s">
        <v>8</v>
      </c>
      <c r="B12" s="3" t="s">
        <v>9</v>
      </c>
      <c r="C12" s="7"/>
      <c r="D12" s="3"/>
      <c r="E12" s="7"/>
      <c r="F12" s="3"/>
      <c r="G12" s="3"/>
      <c r="H12" s="3"/>
      <c r="I12" s="6"/>
    </row>
    <row r="13" spans="1:12" x14ac:dyDescent="0.35">
      <c r="A13" s="9" t="s">
        <v>10</v>
      </c>
      <c r="B13" s="7"/>
      <c r="C13" s="7"/>
      <c r="D13" s="3"/>
      <c r="E13" s="7"/>
      <c r="F13" s="3"/>
      <c r="G13" s="3"/>
      <c r="H13" s="3"/>
      <c r="I13" s="6"/>
    </row>
    <row r="14" spans="1:12" ht="15.5" x14ac:dyDescent="0.35">
      <c r="A14" s="9" t="s">
        <v>61</v>
      </c>
      <c r="B14" s="3">
        <v>2</v>
      </c>
      <c r="C14" s="3">
        <v>1</v>
      </c>
      <c r="D14" s="3">
        <f t="shared" ref="D14:D28" si="3">B14*C14</f>
        <v>2</v>
      </c>
      <c r="E14" s="3">
        <v>0</v>
      </c>
      <c r="F14" s="3">
        <f t="shared" si="0"/>
        <v>0</v>
      </c>
      <c r="G14" s="3">
        <f t="shared" si="1"/>
        <v>0</v>
      </c>
      <c r="H14" s="3">
        <f t="shared" si="2"/>
        <v>0</v>
      </c>
      <c r="I14" s="6">
        <f t="shared" ref="I14:I19" si="4">+$L$7*F14+$L$6*G14+$L$8*H14</f>
        <v>0</v>
      </c>
    </row>
    <row r="15" spans="1:12" ht="15.5" x14ac:dyDescent="0.35">
      <c r="A15" s="9" t="s">
        <v>62</v>
      </c>
      <c r="B15" s="3">
        <v>2</v>
      </c>
      <c r="C15" s="3">
        <v>1</v>
      </c>
      <c r="D15" s="3">
        <f t="shared" si="3"/>
        <v>2</v>
      </c>
      <c r="E15" s="3">
        <v>0</v>
      </c>
      <c r="F15" s="3">
        <f t="shared" si="0"/>
        <v>0</v>
      </c>
      <c r="G15" s="3">
        <f t="shared" si="1"/>
        <v>0</v>
      </c>
      <c r="H15" s="3">
        <f t="shared" si="2"/>
        <v>0</v>
      </c>
      <c r="I15" s="6">
        <f t="shared" si="4"/>
        <v>0</v>
      </c>
    </row>
    <row r="16" spans="1:12" ht="26" x14ac:dyDescent="0.35">
      <c r="A16" s="9" t="s">
        <v>11</v>
      </c>
      <c r="B16" s="3">
        <v>2</v>
      </c>
      <c r="C16" s="3">
        <v>1</v>
      </c>
      <c r="D16" s="3">
        <f t="shared" si="3"/>
        <v>2</v>
      </c>
      <c r="E16" s="3">
        <v>0</v>
      </c>
      <c r="F16" s="3">
        <f t="shared" si="0"/>
        <v>0</v>
      </c>
      <c r="G16" s="3">
        <f t="shared" si="1"/>
        <v>0</v>
      </c>
      <c r="H16" s="3">
        <f t="shared" si="2"/>
        <v>0</v>
      </c>
      <c r="I16" s="6">
        <f t="shared" si="4"/>
        <v>0</v>
      </c>
    </row>
    <row r="17" spans="1:14" ht="15.5" x14ac:dyDescent="0.35">
      <c r="A17" s="9" t="s">
        <v>63</v>
      </c>
      <c r="B17" s="3">
        <v>2</v>
      </c>
      <c r="C17" s="3">
        <v>1</v>
      </c>
      <c r="D17" s="3">
        <f t="shared" si="3"/>
        <v>2</v>
      </c>
      <c r="E17" s="3">
        <v>0</v>
      </c>
      <c r="F17" s="3">
        <f t="shared" si="0"/>
        <v>0</v>
      </c>
      <c r="G17" s="3">
        <f t="shared" si="1"/>
        <v>0</v>
      </c>
      <c r="H17" s="3">
        <f t="shared" si="2"/>
        <v>0</v>
      </c>
      <c r="I17" s="6">
        <f t="shared" si="4"/>
        <v>0</v>
      </c>
    </row>
    <row r="18" spans="1:14" ht="15.5" x14ac:dyDescent="0.35">
      <c r="A18" s="9" t="s">
        <v>64</v>
      </c>
      <c r="B18" s="3">
        <v>4</v>
      </c>
      <c r="C18" s="3">
        <v>1</v>
      </c>
      <c r="D18" s="3">
        <f t="shared" si="3"/>
        <v>4</v>
      </c>
      <c r="E18" s="3">
        <v>0</v>
      </c>
      <c r="F18" s="3">
        <f t="shared" si="0"/>
        <v>0</v>
      </c>
      <c r="G18" s="3">
        <f t="shared" si="1"/>
        <v>0</v>
      </c>
      <c r="H18" s="3">
        <f t="shared" si="2"/>
        <v>0</v>
      </c>
      <c r="I18" s="6">
        <f t="shared" si="4"/>
        <v>0</v>
      </c>
    </row>
    <row r="19" spans="1:14" ht="15.5" x14ac:dyDescent="0.35">
      <c r="A19" s="9" t="s">
        <v>65</v>
      </c>
      <c r="B19" s="3">
        <v>4</v>
      </c>
      <c r="C19" s="3">
        <v>1</v>
      </c>
      <c r="D19" s="3">
        <f t="shared" si="3"/>
        <v>4</v>
      </c>
      <c r="E19" s="3">
        <v>0</v>
      </c>
      <c r="F19" s="3">
        <f t="shared" si="0"/>
        <v>0</v>
      </c>
      <c r="G19" s="3">
        <f t="shared" si="1"/>
        <v>0</v>
      </c>
      <c r="H19" s="3">
        <f t="shared" si="2"/>
        <v>0</v>
      </c>
      <c r="I19" s="6">
        <f t="shared" si="4"/>
        <v>0</v>
      </c>
    </row>
    <row r="20" spans="1:14" x14ac:dyDescent="0.35">
      <c r="A20" s="20" t="s">
        <v>50</v>
      </c>
      <c r="B20" s="7"/>
      <c r="C20" s="7"/>
      <c r="D20" s="3"/>
      <c r="E20" s="7"/>
      <c r="F20" s="52">
        <f>SUM(F5:H19)</f>
        <v>23</v>
      </c>
      <c r="G20" s="52"/>
      <c r="H20" s="52"/>
      <c r="I20" s="8">
        <f>+SUM(I5:I19)</f>
        <v>2761.4790000000003</v>
      </c>
    </row>
    <row r="21" spans="1:14" x14ac:dyDescent="0.35">
      <c r="A21" s="9" t="s">
        <v>12</v>
      </c>
      <c r="B21" s="3"/>
      <c r="C21" s="3"/>
      <c r="D21" s="3"/>
      <c r="E21" s="3"/>
      <c r="F21" s="3"/>
      <c r="G21" s="3"/>
      <c r="H21" s="3"/>
      <c r="I21" s="3"/>
    </row>
    <row r="22" spans="1:14" ht="15.5" x14ac:dyDescent="0.35">
      <c r="A22" s="9" t="s">
        <v>56</v>
      </c>
      <c r="B22" s="3" t="s">
        <v>13</v>
      </c>
      <c r="C22" s="3"/>
      <c r="D22" s="3"/>
      <c r="E22" s="3"/>
      <c r="F22" s="3"/>
      <c r="G22" s="3"/>
      <c r="H22" s="3"/>
      <c r="I22" s="3"/>
    </row>
    <row r="23" spans="1:14" x14ac:dyDescent="0.35">
      <c r="A23" s="9" t="s">
        <v>14</v>
      </c>
      <c r="B23" s="3" t="s">
        <v>13</v>
      </c>
      <c r="C23" s="3"/>
      <c r="D23" s="3"/>
      <c r="E23" s="3"/>
      <c r="F23" s="3"/>
      <c r="G23" s="3"/>
      <c r="H23" s="3"/>
      <c r="I23" s="3"/>
    </row>
    <row r="24" spans="1:14" x14ac:dyDescent="0.35">
      <c r="A24" s="9" t="s">
        <v>15</v>
      </c>
      <c r="B24" s="3" t="s">
        <v>13</v>
      </c>
      <c r="C24" s="3"/>
      <c r="D24" s="3"/>
      <c r="E24" s="3"/>
      <c r="F24" s="3"/>
      <c r="G24" s="3"/>
      <c r="H24" s="3"/>
      <c r="I24" s="3"/>
    </row>
    <row r="25" spans="1:14" x14ac:dyDescent="0.35">
      <c r="A25" s="9" t="s">
        <v>16</v>
      </c>
      <c r="B25" s="3" t="s">
        <v>2</v>
      </c>
      <c r="C25" s="7"/>
      <c r="D25" s="3"/>
      <c r="E25" s="7"/>
      <c r="F25" s="7"/>
      <c r="G25" s="7"/>
      <c r="H25" s="7"/>
      <c r="I25" s="3"/>
    </row>
    <row r="26" spans="1:14" x14ac:dyDescent="0.35">
      <c r="A26" s="9" t="s">
        <v>17</v>
      </c>
      <c r="B26" s="7"/>
      <c r="C26" s="7"/>
      <c r="D26" s="3"/>
      <c r="E26" s="7"/>
      <c r="F26" s="7"/>
      <c r="G26" s="7"/>
      <c r="H26" s="7"/>
      <c r="I26" s="3"/>
    </row>
    <row r="27" spans="1:14" ht="39" x14ac:dyDescent="0.35">
      <c r="A27" s="9" t="s">
        <v>18</v>
      </c>
      <c r="B27" s="3">
        <v>1.5</v>
      </c>
      <c r="C27" s="3">
        <v>1</v>
      </c>
      <c r="D27" s="3">
        <f t="shared" si="3"/>
        <v>1.5</v>
      </c>
      <c r="E27" s="3">
        <v>20</v>
      </c>
      <c r="F27" s="3">
        <f t="shared" ref="F27" si="5">+D27*E27</f>
        <v>30</v>
      </c>
      <c r="G27" s="3">
        <f t="shared" ref="G27:G28" si="6">F27*0.05</f>
        <v>1.5</v>
      </c>
      <c r="H27" s="13">
        <f t="shared" ref="H27" si="7">+F27*0.1</f>
        <v>3</v>
      </c>
      <c r="I27" s="11">
        <f>+$L$7*F27+$L$6*G27+$L$8*H27</f>
        <v>4142.2184999999999</v>
      </c>
    </row>
    <row r="28" spans="1:14" ht="15.5" x14ac:dyDescent="0.35">
      <c r="A28" s="9" t="s">
        <v>67</v>
      </c>
      <c r="B28" s="3">
        <v>0.25</v>
      </c>
      <c r="C28" s="3">
        <v>350</v>
      </c>
      <c r="D28" s="3">
        <f t="shared" si="3"/>
        <v>87.5</v>
      </c>
      <c r="E28" s="3">
        <v>20</v>
      </c>
      <c r="F28" s="5">
        <f t="shared" ref="F28" si="8">+D28*E28</f>
        <v>1750</v>
      </c>
      <c r="G28" s="3">
        <f t="shared" si="6"/>
        <v>87.5</v>
      </c>
      <c r="H28" s="3">
        <f t="shared" ref="H28" si="9">+F28*0.1</f>
        <v>175</v>
      </c>
      <c r="I28" s="11">
        <f>+$L$7*F28+$L$6*G28+$L$8*H28</f>
        <v>241629.41250000001</v>
      </c>
    </row>
    <row r="29" spans="1:14" x14ac:dyDescent="0.35">
      <c r="A29" s="9" t="s">
        <v>19</v>
      </c>
      <c r="B29" s="3" t="s">
        <v>2</v>
      </c>
      <c r="C29" s="7"/>
      <c r="D29" s="7"/>
      <c r="E29" s="7"/>
      <c r="F29" s="7"/>
      <c r="G29" s="7"/>
      <c r="H29" s="7"/>
      <c r="I29" s="3"/>
    </row>
    <row r="30" spans="1:14" x14ac:dyDescent="0.35">
      <c r="A30" s="9" t="s">
        <v>20</v>
      </c>
      <c r="B30" s="3" t="s">
        <v>2</v>
      </c>
      <c r="C30" s="7"/>
      <c r="D30" s="7"/>
      <c r="E30" s="7"/>
      <c r="F30" s="7"/>
      <c r="G30" s="7"/>
      <c r="H30" s="7"/>
      <c r="I30" s="3"/>
      <c r="L30" s="32" t="s">
        <v>110</v>
      </c>
      <c r="M30" s="33"/>
      <c r="N30" s="34"/>
    </row>
    <row r="31" spans="1:14" x14ac:dyDescent="0.35">
      <c r="A31" s="20" t="s">
        <v>51</v>
      </c>
      <c r="B31" s="3"/>
      <c r="C31" s="3"/>
      <c r="D31" s="3"/>
      <c r="E31" s="3"/>
      <c r="F31" s="53">
        <f>+SUM(F21:H30)</f>
        <v>2047</v>
      </c>
      <c r="G31" s="53"/>
      <c r="H31" s="53"/>
      <c r="I31" s="8">
        <f>+SUM(I21:I30)</f>
        <v>245771.63099999999</v>
      </c>
      <c r="L31" s="35">
        <f>F32+'Table 1b'!F32</f>
        <v>3730</v>
      </c>
      <c r="M31" t="s">
        <v>107</v>
      </c>
      <c r="N31" s="36"/>
    </row>
    <row r="32" spans="1:14" ht="15.5" x14ac:dyDescent="0.35">
      <c r="A32" s="22" t="s">
        <v>60</v>
      </c>
      <c r="B32" s="4"/>
      <c r="C32" s="4"/>
      <c r="D32" s="4"/>
      <c r="E32" s="4"/>
      <c r="F32" s="53">
        <f>ROUND(F20+F31,-1)</f>
        <v>2070</v>
      </c>
      <c r="G32" s="53"/>
      <c r="H32" s="53"/>
      <c r="I32" s="8">
        <f>ROUND(I20+I31,-3)</f>
        <v>249000</v>
      </c>
      <c r="L32" s="37">
        <f>I32+'Table 1b'!I32</f>
        <v>334000</v>
      </c>
      <c r="M32" t="s">
        <v>108</v>
      </c>
      <c r="N32" s="36"/>
    </row>
    <row r="33" spans="1:14" ht="15" customHeight="1" x14ac:dyDescent="0.35">
      <c r="A33" s="22" t="s">
        <v>59</v>
      </c>
      <c r="B33" s="4"/>
      <c r="C33" s="4"/>
      <c r="D33" s="4"/>
      <c r="E33" s="4"/>
      <c r="F33" s="10"/>
      <c r="G33" s="10"/>
      <c r="H33" s="10"/>
      <c r="I33" s="8">
        <f>ROUND('Capital O&amp;M'!J6*21/37,-2)</f>
        <v>72100</v>
      </c>
      <c r="L33" s="38">
        <f>ROUND(L31/Responses!F19,0)</f>
        <v>52</v>
      </c>
      <c r="M33" s="39" t="s">
        <v>106</v>
      </c>
      <c r="N33" s="40"/>
    </row>
    <row r="34" spans="1:14" ht="15.5" x14ac:dyDescent="0.35">
      <c r="A34" s="22" t="s">
        <v>58</v>
      </c>
      <c r="B34" s="4"/>
      <c r="C34" s="4"/>
      <c r="D34" s="4"/>
      <c r="E34" s="4"/>
      <c r="F34" s="10"/>
      <c r="G34" s="10"/>
      <c r="H34" s="10"/>
      <c r="I34" s="8">
        <f>ROUND(+I33+I32,-3)</f>
        <v>321000</v>
      </c>
      <c r="L34" s="23">
        <f>I34+'Table 1b'!I34</f>
        <v>462000</v>
      </c>
      <c r="M34" t="s">
        <v>112</v>
      </c>
    </row>
    <row r="36" spans="1:14" x14ac:dyDescent="0.35">
      <c r="A36" s="12" t="s">
        <v>29</v>
      </c>
    </row>
    <row r="37" spans="1:14" ht="31.5" customHeight="1" x14ac:dyDescent="0.35">
      <c r="A37" s="50" t="s">
        <v>123</v>
      </c>
      <c r="B37" s="50"/>
      <c r="C37" s="50"/>
      <c r="D37" s="50"/>
      <c r="E37" s="50"/>
      <c r="F37" s="50"/>
      <c r="G37" s="50"/>
      <c r="H37" s="50"/>
      <c r="I37" s="50"/>
    </row>
    <row r="38" spans="1:14" ht="60.65" customHeight="1" x14ac:dyDescent="0.35">
      <c r="A38" s="54" t="s">
        <v>120</v>
      </c>
      <c r="B38" s="54"/>
      <c r="C38" s="54"/>
      <c r="D38" s="54"/>
      <c r="E38" s="54"/>
      <c r="F38" s="54"/>
      <c r="G38" s="54"/>
      <c r="H38" s="54"/>
      <c r="I38" s="54"/>
      <c r="J38" s="54"/>
    </row>
    <row r="39" spans="1:14" x14ac:dyDescent="0.35">
      <c r="A39" s="50" t="s">
        <v>55</v>
      </c>
      <c r="B39" s="50"/>
      <c r="C39" s="50"/>
      <c r="D39" s="50"/>
      <c r="E39" s="50"/>
      <c r="F39" s="50"/>
      <c r="G39" s="50"/>
      <c r="H39" s="50"/>
      <c r="I39" s="50"/>
    </row>
    <row r="40" spans="1:14" x14ac:dyDescent="0.35">
      <c r="A40" s="50" t="s">
        <v>30</v>
      </c>
      <c r="B40" s="50"/>
      <c r="C40" s="50"/>
      <c r="D40" s="50"/>
      <c r="E40" s="50"/>
      <c r="F40" s="50"/>
      <c r="G40" s="50"/>
      <c r="H40" s="50"/>
      <c r="I40" s="50"/>
    </row>
    <row r="41" spans="1:14" x14ac:dyDescent="0.35">
      <c r="A41" s="50" t="s">
        <v>69</v>
      </c>
      <c r="B41" s="50"/>
      <c r="C41" s="50"/>
      <c r="D41" s="50"/>
      <c r="E41" s="50"/>
      <c r="F41" s="50"/>
      <c r="G41" s="50"/>
      <c r="H41" s="50"/>
      <c r="I41" s="50"/>
    </row>
    <row r="42" spans="1:14" x14ac:dyDescent="0.35">
      <c r="A42" s="50" t="s">
        <v>66</v>
      </c>
      <c r="B42" s="50"/>
      <c r="C42" s="50"/>
      <c r="D42" s="50"/>
      <c r="E42" s="50"/>
      <c r="F42" s="50"/>
      <c r="G42" s="50"/>
      <c r="H42" s="50"/>
      <c r="I42" s="50"/>
    </row>
    <row r="43" spans="1:14" x14ac:dyDescent="0.35">
      <c r="A43" s="50" t="s">
        <v>68</v>
      </c>
      <c r="B43" s="50"/>
      <c r="C43" s="50"/>
      <c r="D43" s="50"/>
      <c r="E43" s="50"/>
      <c r="F43" s="50"/>
      <c r="G43" s="50"/>
      <c r="H43" s="50"/>
      <c r="I43" s="50"/>
    </row>
    <row r="44" spans="1:14" x14ac:dyDescent="0.35">
      <c r="A44" s="50" t="s">
        <v>70</v>
      </c>
      <c r="B44" s="50"/>
      <c r="C44" s="50"/>
      <c r="D44" s="50"/>
      <c r="E44" s="50"/>
      <c r="F44" s="50"/>
      <c r="G44" s="50"/>
      <c r="H44" s="50"/>
      <c r="I44" s="50"/>
    </row>
  </sheetData>
  <mergeCells count="12">
    <mergeCell ref="K5:L5"/>
    <mergeCell ref="A37:I37"/>
    <mergeCell ref="A39:I39"/>
    <mergeCell ref="F20:H20"/>
    <mergeCell ref="F31:H31"/>
    <mergeCell ref="F32:H32"/>
    <mergeCell ref="A38:J38"/>
    <mergeCell ref="A40:I40"/>
    <mergeCell ref="A41:I41"/>
    <mergeCell ref="A42:I42"/>
    <mergeCell ref="A43:I43"/>
    <mergeCell ref="A44:I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606A-60C0-4C42-8FB8-42E74181E003}">
  <dimension ref="A1:L44"/>
  <sheetViews>
    <sheetView topLeftCell="A27" workbookViewId="0">
      <selection activeCell="A38" sqref="A38:L38"/>
    </sheetView>
  </sheetViews>
  <sheetFormatPr defaultRowHeight="14.5" x14ac:dyDescent="0.35"/>
  <cols>
    <col min="1" max="1" width="50.7265625" customWidth="1"/>
    <col min="2" max="2" width="10.54296875" customWidth="1"/>
    <col min="3" max="3" width="10.7265625" customWidth="1"/>
    <col min="5" max="5" width="11.453125" customWidth="1"/>
    <col min="9" max="9" width="11.26953125" customWidth="1"/>
    <col min="11" max="11" width="11" bestFit="1" customWidth="1"/>
  </cols>
  <sheetData>
    <row r="1" spans="1:12" ht="15.5" x14ac:dyDescent="0.35">
      <c r="A1" s="14" t="s">
        <v>49</v>
      </c>
    </row>
    <row r="2" spans="1:12" x14ac:dyDescent="0.35">
      <c r="A2" s="1"/>
    </row>
    <row r="4" spans="1:12" ht="91" x14ac:dyDescent="0.35">
      <c r="A4" s="2" t="s">
        <v>0</v>
      </c>
      <c r="B4" s="2" t="s">
        <v>21</v>
      </c>
      <c r="C4" s="2" t="s">
        <v>22</v>
      </c>
      <c r="D4" s="2" t="s">
        <v>25</v>
      </c>
      <c r="E4" s="2" t="s">
        <v>23</v>
      </c>
      <c r="F4" s="2" t="s">
        <v>24</v>
      </c>
      <c r="G4" s="2" t="s">
        <v>26</v>
      </c>
      <c r="H4" s="2" t="s">
        <v>27</v>
      </c>
      <c r="I4" s="2" t="s">
        <v>28</v>
      </c>
    </row>
    <row r="5" spans="1:12" x14ac:dyDescent="0.35">
      <c r="A5" s="9" t="s">
        <v>1</v>
      </c>
      <c r="B5" s="3" t="s">
        <v>2</v>
      </c>
      <c r="C5" s="3"/>
      <c r="D5" s="3"/>
      <c r="E5" s="3"/>
      <c r="F5" s="3"/>
      <c r="G5" s="3"/>
      <c r="H5" s="3"/>
      <c r="I5" s="3"/>
      <c r="K5" s="51" t="s">
        <v>44</v>
      </c>
      <c r="L5" s="51"/>
    </row>
    <row r="6" spans="1:12" x14ac:dyDescent="0.35">
      <c r="A6" s="9" t="s">
        <v>3</v>
      </c>
      <c r="B6" s="3" t="s">
        <v>2</v>
      </c>
      <c r="C6" s="3"/>
      <c r="D6" s="3"/>
      <c r="E6" s="3"/>
      <c r="F6" s="3"/>
      <c r="G6" s="3"/>
      <c r="H6" s="3"/>
      <c r="I6" s="3"/>
      <c r="K6" s="21" t="s">
        <v>45</v>
      </c>
      <c r="L6" s="45">
        <v>70.56</v>
      </c>
    </row>
    <row r="7" spans="1:12" x14ac:dyDescent="0.35">
      <c r="A7" s="9" t="s">
        <v>4</v>
      </c>
      <c r="B7" s="3"/>
      <c r="C7" s="3"/>
      <c r="D7" s="3"/>
      <c r="E7" s="3"/>
      <c r="F7" s="3"/>
      <c r="G7" s="3"/>
      <c r="H7" s="3"/>
      <c r="I7" s="3"/>
      <c r="K7" s="21" t="s">
        <v>46</v>
      </c>
      <c r="L7" s="45">
        <v>52.37</v>
      </c>
    </row>
    <row r="8" spans="1:12" ht="15.5" x14ac:dyDescent="0.35">
      <c r="A8" s="9" t="s">
        <v>56</v>
      </c>
      <c r="B8" s="3">
        <v>1</v>
      </c>
      <c r="C8" s="3">
        <v>1</v>
      </c>
      <c r="D8" s="3">
        <f>B8*C8</f>
        <v>1</v>
      </c>
      <c r="E8" s="3">
        <v>16</v>
      </c>
      <c r="F8" s="3">
        <f>+D8*E8</f>
        <v>16</v>
      </c>
      <c r="G8" s="3">
        <f>F8*0.05</f>
        <v>0.8</v>
      </c>
      <c r="H8" s="3">
        <f>+F8*0.1</f>
        <v>1.6</v>
      </c>
      <c r="I8" s="11">
        <f>+$L$7*F8+$L$6*G8+$L$8*H8</f>
        <v>939.71199999999999</v>
      </c>
      <c r="K8" s="21" t="s">
        <v>47</v>
      </c>
      <c r="L8" s="45">
        <v>28.34</v>
      </c>
    </row>
    <row r="9" spans="1:12" x14ac:dyDescent="0.35">
      <c r="A9" s="9" t="s">
        <v>5</v>
      </c>
      <c r="B9" s="7"/>
      <c r="C9" s="7"/>
      <c r="D9" s="3"/>
      <c r="E9" s="7"/>
      <c r="F9" s="3"/>
      <c r="G9" s="3"/>
      <c r="H9" s="3"/>
      <c r="I9" s="6"/>
    </row>
    <row r="10" spans="1:12" ht="15.5" x14ac:dyDescent="0.35">
      <c r="A10" s="9" t="s">
        <v>57</v>
      </c>
      <c r="B10" s="3">
        <v>200</v>
      </c>
      <c r="C10" s="3">
        <v>1</v>
      </c>
      <c r="D10" s="3">
        <f t="shared" ref="D10" si="0">B10*C10</f>
        <v>200</v>
      </c>
      <c r="E10" s="3">
        <v>0</v>
      </c>
      <c r="F10" s="3">
        <f t="shared" ref="F10" si="1">+D10*E10</f>
        <v>0</v>
      </c>
      <c r="G10" s="3">
        <f t="shared" ref="G10" si="2">F10*0.05</f>
        <v>0</v>
      </c>
      <c r="H10" s="3">
        <f t="shared" ref="H10" si="3">+F10*0.1</f>
        <v>0</v>
      </c>
      <c r="I10" s="6">
        <f t="shared" ref="I10" si="4">+$F$3*F10+$G$3*G10+$H$3*H10</f>
        <v>0</v>
      </c>
    </row>
    <row r="11" spans="1:12" x14ac:dyDescent="0.35">
      <c r="A11" s="9" t="s">
        <v>6</v>
      </c>
      <c r="B11" s="3" t="s">
        <v>7</v>
      </c>
      <c r="C11" s="7"/>
      <c r="D11" s="3"/>
      <c r="E11" s="7"/>
      <c r="F11" s="3"/>
      <c r="G11" s="3"/>
      <c r="H11" s="3"/>
      <c r="I11" s="6"/>
    </row>
    <row r="12" spans="1:12" x14ac:dyDescent="0.35">
      <c r="A12" s="9" t="s">
        <v>8</v>
      </c>
      <c r="B12" s="3" t="s">
        <v>9</v>
      </c>
      <c r="C12" s="7"/>
      <c r="D12" s="3"/>
      <c r="E12" s="7"/>
      <c r="F12" s="3"/>
      <c r="G12" s="3"/>
      <c r="H12" s="3"/>
      <c r="I12" s="6"/>
    </row>
    <row r="13" spans="1:12" x14ac:dyDescent="0.35">
      <c r="A13" s="9" t="s">
        <v>10</v>
      </c>
      <c r="B13" s="7"/>
      <c r="C13" s="7"/>
      <c r="D13" s="3"/>
      <c r="E13" s="7"/>
      <c r="F13" s="3"/>
      <c r="G13" s="3"/>
      <c r="H13" s="3"/>
      <c r="I13" s="6"/>
    </row>
    <row r="14" spans="1:12" ht="15.5" x14ac:dyDescent="0.35">
      <c r="A14" s="9" t="s">
        <v>61</v>
      </c>
      <c r="B14" s="3">
        <v>2</v>
      </c>
      <c r="C14" s="3">
        <v>1</v>
      </c>
      <c r="D14" s="3">
        <f t="shared" ref="D14:D19" si="5">B14*C14</f>
        <v>2</v>
      </c>
      <c r="E14" s="3">
        <v>0</v>
      </c>
      <c r="F14" s="3">
        <f>+D14*E14</f>
        <v>0</v>
      </c>
      <c r="G14" s="3">
        <f>F14*0.05</f>
        <v>0</v>
      </c>
      <c r="H14" s="3">
        <f>+F14*0.1</f>
        <v>0</v>
      </c>
      <c r="I14" s="6">
        <f t="shared" ref="I14:I19" si="6">+$L$7*F14+$L$6*G14+$L$8*H14</f>
        <v>0</v>
      </c>
    </row>
    <row r="15" spans="1:12" ht="15.5" x14ac:dyDescent="0.35">
      <c r="A15" s="9" t="s">
        <v>62</v>
      </c>
      <c r="B15" s="3">
        <v>2</v>
      </c>
      <c r="C15" s="3">
        <v>1</v>
      </c>
      <c r="D15" s="3">
        <f t="shared" si="5"/>
        <v>2</v>
      </c>
      <c r="E15" s="3">
        <v>0</v>
      </c>
      <c r="F15" s="3">
        <f t="shared" ref="F15:F19" si="7">+D15*E15</f>
        <v>0</v>
      </c>
      <c r="G15" s="3">
        <f t="shared" ref="G15:G19" si="8">F15*0.05</f>
        <v>0</v>
      </c>
      <c r="H15" s="3">
        <f t="shared" ref="H15:H19" si="9">+F15*0.1</f>
        <v>0</v>
      </c>
      <c r="I15" s="6">
        <f t="shared" si="6"/>
        <v>0</v>
      </c>
    </row>
    <row r="16" spans="1:12" ht="26" x14ac:dyDescent="0.35">
      <c r="A16" s="9" t="s">
        <v>11</v>
      </c>
      <c r="B16" s="3">
        <v>2</v>
      </c>
      <c r="C16" s="3">
        <v>1</v>
      </c>
      <c r="D16" s="3">
        <f t="shared" si="5"/>
        <v>2</v>
      </c>
      <c r="E16" s="3">
        <v>0</v>
      </c>
      <c r="F16" s="3">
        <f t="shared" si="7"/>
        <v>0</v>
      </c>
      <c r="G16" s="3">
        <f t="shared" si="8"/>
        <v>0</v>
      </c>
      <c r="H16" s="3">
        <f t="shared" si="9"/>
        <v>0</v>
      </c>
      <c r="I16" s="6">
        <f t="shared" si="6"/>
        <v>0</v>
      </c>
    </row>
    <row r="17" spans="1:9" ht="15.5" x14ac:dyDescent="0.35">
      <c r="A17" s="9" t="s">
        <v>63</v>
      </c>
      <c r="B17" s="3">
        <v>2</v>
      </c>
      <c r="C17" s="3">
        <v>1</v>
      </c>
      <c r="D17" s="3">
        <f t="shared" si="5"/>
        <v>2</v>
      </c>
      <c r="E17" s="3">
        <v>0</v>
      </c>
      <c r="F17" s="3">
        <f t="shared" si="7"/>
        <v>0</v>
      </c>
      <c r="G17" s="3">
        <f t="shared" si="8"/>
        <v>0</v>
      </c>
      <c r="H17" s="3">
        <f t="shared" si="9"/>
        <v>0</v>
      </c>
      <c r="I17" s="6">
        <f t="shared" si="6"/>
        <v>0</v>
      </c>
    </row>
    <row r="18" spans="1:9" ht="15.5" x14ac:dyDescent="0.35">
      <c r="A18" s="9" t="s">
        <v>64</v>
      </c>
      <c r="B18" s="3">
        <v>4</v>
      </c>
      <c r="C18" s="3">
        <v>1</v>
      </c>
      <c r="D18" s="3">
        <f t="shared" si="5"/>
        <v>4</v>
      </c>
      <c r="E18" s="3">
        <v>0</v>
      </c>
      <c r="F18" s="3">
        <f t="shared" si="7"/>
        <v>0</v>
      </c>
      <c r="G18" s="3">
        <f t="shared" si="8"/>
        <v>0</v>
      </c>
      <c r="H18" s="3">
        <f t="shared" si="9"/>
        <v>0</v>
      </c>
      <c r="I18" s="6">
        <f t="shared" si="6"/>
        <v>0</v>
      </c>
    </row>
    <row r="19" spans="1:9" ht="15.5" x14ac:dyDescent="0.35">
      <c r="A19" s="9" t="s">
        <v>65</v>
      </c>
      <c r="B19" s="3">
        <v>4</v>
      </c>
      <c r="C19" s="3">
        <v>1</v>
      </c>
      <c r="D19" s="3">
        <f t="shared" si="5"/>
        <v>4</v>
      </c>
      <c r="E19" s="3">
        <v>0</v>
      </c>
      <c r="F19" s="3">
        <f t="shared" si="7"/>
        <v>0</v>
      </c>
      <c r="G19" s="3">
        <f t="shared" si="8"/>
        <v>0</v>
      </c>
      <c r="H19" s="3">
        <f t="shared" si="9"/>
        <v>0</v>
      </c>
      <c r="I19" s="6">
        <f t="shared" si="6"/>
        <v>0</v>
      </c>
    </row>
    <row r="20" spans="1:9" x14ac:dyDescent="0.35">
      <c r="A20" s="20" t="s">
        <v>50</v>
      </c>
      <c r="B20" s="7"/>
      <c r="C20" s="7"/>
      <c r="D20" s="3"/>
      <c r="E20" s="7"/>
      <c r="F20" s="52">
        <f>SUM(F5:H19)</f>
        <v>18.400000000000002</v>
      </c>
      <c r="G20" s="52"/>
      <c r="H20" s="52"/>
      <c r="I20" s="8">
        <f>+SUM(I5:I19)</f>
        <v>939.71199999999999</v>
      </c>
    </row>
    <row r="21" spans="1:9" x14ac:dyDescent="0.35">
      <c r="A21" s="9" t="s">
        <v>12</v>
      </c>
      <c r="B21" s="3"/>
      <c r="C21" s="3"/>
      <c r="D21" s="3"/>
      <c r="E21" s="3"/>
      <c r="F21" s="3"/>
      <c r="G21" s="3"/>
      <c r="H21" s="3"/>
      <c r="I21" s="3"/>
    </row>
    <row r="22" spans="1:9" ht="15.5" x14ac:dyDescent="0.35">
      <c r="A22" s="9" t="s">
        <v>56</v>
      </c>
      <c r="B22" s="3" t="s">
        <v>13</v>
      </c>
      <c r="C22" s="3"/>
      <c r="D22" s="3"/>
      <c r="E22" s="3"/>
      <c r="F22" s="3"/>
      <c r="G22" s="3"/>
      <c r="H22" s="3"/>
      <c r="I22" s="3"/>
    </row>
    <row r="23" spans="1:9" x14ac:dyDescent="0.35">
      <c r="A23" s="9" t="s">
        <v>14</v>
      </c>
      <c r="B23" s="3" t="s">
        <v>13</v>
      </c>
      <c r="C23" s="3"/>
      <c r="D23" s="3"/>
      <c r="E23" s="3"/>
      <c r="F23" s="3"/>
      <c r="G23" s="3"/>
      <c r="H23" s="3"/>
      <c r="I23" s="3"/>
    </row>
    <row r="24" spans="1:9" x14ac:dyDescent="0.35">
      <c r="A24" s="9" t="s">
        <v>15</v>
      </c>
      <c r="B24" s="3" t="s">
        <v>13</v>
      </c>
      <c r="C24" s="3"/>
      <c r="D24" s="3"/>
      <c r="E24" s="3"/>
      <c r="F24" s="3"/>
      <c r="G24" s="3"/>
      <c r="H24" s="3"/>
      <c r="I24" s="3"/>
    </row>
    <row r="25" spans="1:9" x14ac:dyDescent="0.35">
      <c r="A25" s="9" t="s">
        <v>16</v>
      </c>
      <c r="B25" s="3" t="s">
        <v>2</v>
      </c>
      <c r="C25" s="7"/>
      <c r="D25" s="3"/>
      <c r="E25" s="7"/>
      <c r="F25" s="7"/>
      <c r="G25" s="7"/>
      <c r="H25" s="7"/>
      <c r="I25" s="3"/>
    </row>
    <row r="26" spans="1:9" x14ac:dyDescent="0.35">
      <c r="A26" s="9" t="s">
        <v>17</v>
      </c>
      <c r="B26" s="7"/>
      <c r="C26" s="7"/>
      <c r="D26" s="3"/>
      <c r="E26" s="7"/>
      <c r="F26" s="7"/>
      <c r="G26" s="7"/>
      <c r="H26" s="7"/>
      <c r="I26" s="3"/>
    </row>
    <row r="27" spans="1:9" ht="39" x14ac:dyDescent="0.35">
      <c r="A27" s="9" t="s">
        <v>18</v>
      </c>
      <c r="B27" s="3">
        <v>1.5</v>
      </c>
      <c r="C27" s="3">
        <v>1</v>
      </c>
      <c r="D27" s="3">
        <f t="shared" ref="D27:D28" si="10">B27*C27</f>
        <v>1.5</v>
      </c>
      <c r="E27" s="3">
        <v>16</v>
      </c>
      <c r="F27" s="3">
        <f>+D27*E27</f>
        <v>24</v>
      </c>
      <c r="G27" s="3">
        <f t="shared" ref="G27:G28" si="11">F27*0.05</f>
        <v>1.2000000000000002</v>
      </c>
      <c r="H27" s="13">
        <f t="shared" ref="H27:H28" si="12">+F27*0.1</f>
        <v>2.4000000000000004</v>
      </c>
      <c r="I27" s="11">
        <f>+$L$7*F27+$L$6*G27+$L$8*H27</f>
        <v>1409.568</v>
      </c>
    </row>
    <row r="28" spans="1:9" ht="15.5" x14ac:dyDescent="0.35">
      <c r="A28" s="9" t="s">
        <v>67</v>
      </c>
      <c r="B28" s="3">
        <v>0.25</v>
      </c>
      <c r="C28" s="3">
        <v>350</v>
      </c>
      <c r="D28" s="3">
        <f t="shared" si="10"/>
        <v>87.5</v>
      </c>
      <c r="E28" s="3">
        <v>16</v>
      </c>
      <c r="F28" s="5">
        <f t="shared" ref="F28" si="13">+D28*E28</f>
        <v>1400</v>
      </c>
      <c r="G28" s="3">
        <f t="shared" si="11"/>
        <v>70</v>
      </c>
      <c r="H28" s="3">
        <f t="shared" si="12"/>
        <v>140</v>
      </c>
      <c r="I28" s="11">
        <f>+$L$7*F28+$L$6*G28+$L$8*H28</f>
        <v>82224.800000000003</v>
      </c>
    </row>
    <row r="29" spans="1:9" x14ac:dyDescent="0.35">
      <c r="A29" s="9" t="s">
        <v>19</v>
      </c>
      <c r="B29" s="3" t="s">
        <v>2</v>
      </c>
      <c r="C29" s="7"/>
      <c r="D29" s="7"/>
      <c r="E29" s="7"/>
      <c r="F29" s="7"/>
      <c r="G29" s="7"/>
      <c r="H29" s="7"/>
      <c r="I29" s="3"/>
    </row>
    <row r="30" spans="1:9" x14ac:dyDescent="0.35">
      <c r="A30" s="9" t="s">
        <v>20</v>
      </c>
      <c r="B30" s="3" t="s">
        <v>2</v>
      </c>
      <c r="C30" s="7"/>
      <c r="D30" s="7"/>
      <c r="E30" s="7"/>
      <c r="F30" s="7"/>
      <c r="G30" s="7"/>
      <c r="H30" s="7"/>
      <c r="I30" s="3"/>
    </row>
    <row r="31" spans="1:9" x14ac:dyDescent="0.35">
      <c r="A31" s="20" t="s">
        <v>51</v>
      </c>
      <c r="B31" s="3"/>
      <c r="C31" s="3"/>
      <c r="D31" s="3"/>
      <c r="E31" s="3"/>
      <c r="F31" s="53">
        <f>+SUM(F21:H30)</f>
        <v>1637.6</v>
      </c>
      <c r="G31" s="53"/>
      <c r="H31" s="53"/>
      <c r="I31" s="8">
        <f>+SUM(I21:I30)</f>
        <v>83634.368000000002</v>
      </c>
    </row>
    <row r="32" spans="1:9" ht="15.5" x14ac:dyDescent="0.35">
      <c r="A32" s="22" t="s">
        <v>60</v>
      </c>
      <c r="B32" s="4"/>
      <c r="C32" s="4"/>
      <c r="D32" s="4"/>
      <c r="E32" s="4"/>
      <c r="F32" s="53">
        <f>ROUND(F20+F31,-1)</f>
        <v>1660</v>
      </c>
      <c r="G32" s="53"/>
      <c r="H32" s="53"/>
      <c r="I32" s="8">
        <f>ROUND(I20+I31,-3)</f>
        <v>85000</v>
      </c>
    </row>
    <row r="33" spans="1:12" ht="15" customHeight="1" x14ac:dyDescent="0.35">
      <c r="A33" s="22" t="s">
        <v>59</v>
      </c>
      <c r="B33" s="4"/>
      <c r="C33" s="4"/>
      <c r="D33" s="4"/>
      <c r="E33" s="4"/>
      <c r="F33" s="10"/>
      <c r="G33" s="10"/>
      <c r="H33" s="10"/>
      <c r="I33" s="8">
        <f>ROUND('Capital O&amp;M'!J6*16/36,-3)</f>
        <v>56000</v>
      </c>
    </row>
    <row r="34" spans="1:12" ht="15.5" x14ac:dyDescent="0.35">
      <c r="A34" s="22" t="s">
        <v>58</v>
      </c>
      <c r="B34" s="4"/>
      <c r="C34" s="4"/>
      <c r="D34" s="4"/>
      <c r="E34" s="4"/>
      <c r="F34" s="10"/>
      <c r="G34" s="10"/>
      <c r="H34" s="10"/>
      <c r="I34" s="8">
        <f>ROUND(+I33+I32,-3)</f>
        <v>141000</v>
      </c>
    </row>
    <row r="36" spans="1:12" x14ac:dyDescent="0.35">
      <c r="A36" s="12" t="s">
        <v>29</v>
      </c>
    </row>
    <row r="37" spans="1:12" ht="31.5" customHeight="1" x14ac:dyDescent="0.35">
      <c r="A37" s="50" t="s">
        <v>123</v>
      </c>
      <c r="B37" s="50"/>
      <c r="C37" s="50"/>
      <c r="D37" s="50"/>
      <c r="E37" s="50"/>
      <c r="F37" s="50"/>
      <c r="G37" s="50"/>
      <c r="H37" s="50"/>
      <c r="I37" s="50"/>
    </row>
    <row r="38" spans="1:12" ht="51" customHeight="1" x14ac:dyDescent="0.35">
      <c r="A38" s="54" t="s">
        <v>121</v>
      </c>
      <c r="B38" s="54"/>
      <c r="C38" s="54"/>
      <c r="D38" s="54"/>
      <c r="E38" s="54"/>
      <c r="F38" s="54"/>
      <c r="G38" s="54"/>
      <c r="H38" s="54"/>
      <c r="I38" s="54"/>
      <c r="J38" s="54"/>
      <c r="K38" s="54"/>
      <c r="L38" s="54"/>
    </row>
    <row r="39" spans="1:12" x14ac:dyDescent="0.35">
      <c r="A39" s="50" t="s">
        <v>55</v>
      </c>
      <c r="B39" s="50"/>
      <c r="C39" s="50"/>
      <c r="D39" s="50"/>
      <c r="E39" s="50"/>
      <c r="F39" s="50"/>
      <c r="G39" s="50"/>
      <c r="H39" s="50"/>
      <c r="I39" s="50"/>
    </row>
    <row r="40" spans="1:12" x14ac:dyDescent="0.35">
      <c r="A40" s="50" t="s">
        <v>30</v>
      </c>
      <c r="B40" s="50"/>
      <c r="C40" s="50"/>
      <c r="D40" s="50"/>
      <c r="E40" s="50"/>
      <c r="F40" s="50"/>
      <c r="G40" s="50"/>
      <c r="H40" s="50"/>
      <c r="I40" s="50"/>
    </row>
    <row r="41" spans="1:12" x14ac:dyDescent="0.35">
      <c r="A41" s="50" t="s">
        <v>69</v>
      </c>
      <c r="B41" s="50"/>
      <c r="C41" s="50"/>
      <c r="D41" s="50"/>
      <c r="E41" s="50"/>
      <c r="F41" s="50"/>
      <c r="G41" s="50"/>
      <c r="H41" s="50"/>
      <c r="I41" s="50"/>
    </row>
    <row r="42" spans="1:12" x14ac:dyDescent="0.35">
      <c r="A42" s="50" t="s">
        <v>66</v>
      </c>
      <c r="B42" s="50"/>
      <c r="C42" s="50"/>
      <c r="D42" s="50"/>
      <c r="E42" s="50"/>
      <c r="F42" s="50"/>
      <c r="G42" s="50"/>
      <c r="H42" s="50"/>
      <c r="I42" s="50"/>
    </row>
    <row r="43" spans="1:12" x14ac:dyDescent="0.35">
      <c r="A43" s="50" t="s">
        <v>68</v>
      </c>
      <c r="B43" s="50"/>
      <c r="C43" s="50"/>
      <c r="D43" s="50"/>
      <c r="E43" s="50"/>
      <c r="F43" s="50"/>
      <c r="G43" s="50"/>
      <c r="H43" s="50"/>
      <c r="I43" s="50"/>
    </row>
    <row r="44" spans="1:12" x14ac:dyDescent="0.35">
      <c r="A44" s="50" t="s">
        <v>70</v>
      </c>
      <c r="B44" s="50"/>
      <c r="C44" s="50"/>
      <c r="D44" s="50"/>
      <c r="E44" s="50"/>
      <c r="F44" s="50"/>
      <c r="G44" s="50"/>
      <c r="H44" s="50"/>
      <c r="I44" s="50"/>
    </row>
  </sheetData>
  <mergeCells count="12">
    <mergeCell ref="F32:H32"/>
    <mergeCell ref="K5:L5"/>
    <mergeCell ref="A44:I44"/>
    <mergeCell ref="A43:I43"/>
    <mergeCell ref="A42:I42"/>
    <mergeCell ref="A41:I41"/>
    <mergeCell ref="A40:I40"/>
    <mergeCell ref="A39:I39"/>
    <mergeCell ref="F20:H20"/>
    <mergeCell ref="F31:H31"/>
    <mergeCell ref="A37:I37"/>
    <mergeCell ref="A38:L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zoomScaleNormal="100" workbookViewId="0">
      <selection activeCell="A14" sqref="A14:L14"/>
    </sheetView>
  </sheetViews>
  <sheetFormatPr defaultRowHeight="14.5" x14ac:dyDescent="0.35"/>
  <cols>
    <col min="1" max="1" width="45.453125" customWidth="1"/>
    <col min="2" max="2" width="10.7265625" customWidth="1"/>
    <col min="3" max="3" width="11.26953125" customWidth="1"/>
    <col min="4" max="4" width="11" customWidth="1"/>
    <col min="5" max="5" width="12.453125" customWidth="1"/>
    <col min="6" max="6" width="9.453125" customWidth="1"/>
    <col min="7" max="7" width="12.7265625" customWidth="1"/>
    <col min="8" max="8" width="10.7265625" customWidth="1"/>
    <col min="9" max="9" width="12.26953125" customWidth="1"/>
    <col min="11" max="11" width="11.26953125" bestFit="1" customWidth="1"/>
  </cols>
  <sheetData>
    <row r="1" spans="1:12" ht="15.5" x14ac:dyDescent="0.35">
      <c r="A1" s="14" t="s">
        <v>31</v>
      </c>
    </row>
    <row r="3" spans="1:12" ht="91" x14ac:dyDescent="0.35">
      <c r="A3" s="18" t="s">
        <v>0</v>
      </c>
      <c r="B3" s="2" t="s">
        <v>21</v>
      </c>
      <c r="C3" s="2" t="s">
        <v>33</v>
      </c>
      <c r="D3" s="2" t="s">
        <v>34</v>
      </c>
      <c r="E3" s="2" t="s">
        <v>23</v>
      </c>
      <c r="F3" s="2" t="s">
        <v>36</v>
      </c>
      <c r="G3" s="2" t="s">
        <v>35</v>
      </c>
      <c r="H3" s="2" t="s">
        <v>37</v>
      </c>
      <c r="I3" s="2" t="s">
        <v>28</v>
      </c>
    </row>
    <row r="4" spans="1:12" ht="15.5" x14ac:dyDescent="0.35">
      <c r="A4" s="15" t="s">
        <v>39</v>
      </c>
      <c r="B4" s="3">
        <v>2</v>
      </c>
      <c r="C4" s="3">
        <v>1</v>
      </c>
      <c r="D4" s="3">
        <f>+B4*C4</f>
        <v>2</v>
      </c>
      <c r="E4" s="3">
        <v>0</v>
      </c>
      <c r="F4" s="3">
        <f>+D4*E4</f>
        <v>0</v>
      </c>
      <c r="G4" s="3">
        <f>+F4*0.05</f>
        <v>0</v>
      </c>
      <c r="H4" s="3">
        <f>+F4*0.1</f>
        <v>0</v>
      </c>
      <c r="I4" s="16">
        <f t="shared" ref="I4:I8" si="0">+$L$6*F4+$L$5*G4+$L$7*H4</f>
        <v>0</v>
      </c>
      <c r="K4" s="51" t="s">
        <v>44</v>
      </c>
      <c r="L4" s="51"/>
    </row>
    <row r="5" spans="1:12" ht="15.5" x14ac:dyDescent="0.35">
      <c r="A5" s="15" t="s">
        <v>40</v>
      </c>
      <c r="B5" s="3">
        <v>2</v>
      </c>
      <c r="C5" s="3">
        <v>1</v>
      </c>
      <c r="D5" s="3">
        <f t="shared" ref="D5:D9" si="1">+B5*C5</f>
        <v>2</v>
      </c>
      <c r="E5" s="3">
        <v>0</v>
      </c>
      <c r="F5" s="3">
        <f t="shared" ref="F5:F9" si="2">+D5*E5</f>
        <v>0</v>
      </c>
      <c r="G5" s="3">
        <f t="shared" ref="G5:G9" si="3">+F5*0.05</f>
        <v>0</v>
      </c>
      <c r="H5" s="3">
        <f t="shared" ref="H5:H9" si="4">+F5*0.1</f>
        <v>0</v>
      </c>
      <c r="I5" s="16">
        <f t="shared" si="0"/>
        <v>0</v>
      </c>
      <c r="K5" s="21" t="s">
        <v>45</v>
      </c>
      <c r="L5" s="45">
        <v>70.56</v>
      </c>
    </row>
    <row r="6" spans="1:12" ht="26" x14ac:dyDescent="0.35">
      <c r="A6" s="15" t="s">
        <v>32</v>
      </c>
      <c r="B6" s="3">
        <v>2</v>
      </c>
      <c r="C6" s="3">
        <v>1</v>
      </c>
      <c r="D6" s="3">
        <f t="shared" si="1"/>
        <v>2</v>
      </c>
      <c r="E6" s="3">
        <v>0</v>
      </c>
      <c r="F6" s="3">
        <f t="shared" si="2"/>
        <v>0</v>
      </c>
      <c r="G6" s="3">
        <f t="shared" si="3"/>
        <v>0</v>
      </c>
      <c r="H6" s="3">
        <f t="shared" si="4"/>
        <v>0</v>
      </c>
      <c r="I6" s="16">
        <f t="shared" si="0"/>
        <v>0</v>
      </c>
      <c r="K6" s="21" t="s">
        <v>46</v>
      </c>
      <c r="L6" s="45">
        <v>52.37</v>
      </c>
    </row>
    <row r="7" spans="1:12" ht="15.5" x14ac:dyDescent="0.35">
      <c r="A7" s="15" t="s">
        <v>41</v>
      </c>
      <c r="B7" s="3">
        <v>4</v>
      </c>
      <c r="C7" s="3">
        <v>1</v>
      </c>
      <c r="D7" s="3">
        <f t="shared" si="1"/>
        <v>4</v>
      </c>
      <c r="E7" s="3">
        <v>0</v>
      </c>
      <c r="F7" s="3">
        <f t="shared" si="2"/>
        <v>0</v>
      </c>
      <c r="G7" s="3">
        <f t="shared" si="3"/>
        <v>0</v>
      </c>
      <c r="H7" s="3">
        <f t="shared" si="4"/>
        <v>0</v>
      </c>
      <c r="I7" s="16">
        <f t="shared" si="0"/>
        <v>0</v>
      </c>
      <c r="K7" s="21" t="s">
        <v>47</v>
      </c>
      <c r="L7" s="45">
        <v>28.34</v>
      </c>
    </row>
    <row r="8" spans="1:12" ht="15.5" x14ac:dyDescent="0.35">
      <c r="A8" s="15" t="s">
        <v>42</v>
      </c>
      <c r="B8" s="3">
        <v>8</v>
      </c>
      <c r="C8" s="3">
        <v>1</v>
      </c>
      <c r="D8" s="3">
        <f t="shared" si="1"/>
        <v>8</v>
      </c>
      <c r="E8" s="3">
        <v>0</v>
      </c>
      <c r="F8" s="3">
        <f t="shared" si="2"/>
        <v>0</v>
      </c>
      <c r="G8" s="3">
        <f t="shared" si="3"/>
        <v>0</v>
      </c>
      <c r="H8" s="3">
        <f t="shared" si="4"/>
        <v>0</v>
      </c>
      <c r="I8" s="16">
        <f t="shared" si="0"/>
        <v>0</v>
      </c>
    </row>
    <row r="9" spans="1:12" ht="15.5" x14ac:dyDescent="0.35">
      <c r="A9" s="15" t="s">
        <v>54</v>
      </c>
      <c r="B9" s="3">
        <v>6</v>
      </c>
      <c r="C9" s="3">
        <v>1</v>
      </c>
      <c r="D9" s="3">
        <f t="shared" si="1"/>
        <v>6</v>
      </c>
      <c r="E9" s="3">
        <f>ROUND(36*0.1, 0)</f>
        <v>4</v>
      </c>
      <c r="F9" s="3">
        <f t="shared" si="2"/>
        <v>24</v>
      </c>
      <c r="G9" s="3">
        <f t="shared" si="3"/>
        <v>1.2000000000000002</v>
      </c>
      <c r="H9" s="3">
        <f t="shared" si="4"/>
        <v>2.4000000000000004</v>
      </c>
      <c r="I9" s="16">
        <f>+$L$6*F9+$L$5*G9+$L$7*H9</f>
        <v>1409.568</v>
      </c>
    </row>
    <row r="10" spans="1:12" ht="15" x14ac:dyDescent="0.35">
      <c r="A10" s="19" t="s">
        <v>53</v>
      </c>
      <c r="B10" s="19"/>
      <c r="C10" s="19"/>
      <c r="D10" s="19"/>
      <c r="E10" s="19"/>
      <c r="F10" s="52">
        <f>+SUM(F4:H9)</f>
        <v>27.6</v>
      </c>
      <c r="G10" s="52"/>
      <c r="H10" s="52"/>
      <c r="I10" s="17">
        <f>ROUND(SUM(I4:I9), -1)</f>
        <v>1410</v>
      </c>
    </row>
    <row r="12" spans="1:12" ht="15.75" customHeight="1" x14ac:dyDescent="0.35">
      <c r="A12" s="12" t="s">
        <v>29</v>
      </c>
    </row>
    <row r="13" spans="1:12" ht="36" customHeight="1" x14ac:dyDescent="0.35">
      <c r="A13" s="55" t="s">
        <v>124</v>
      </c>
      <c r="B13" s="55"/>
      <c r="C13" s="55"/>
      <c r="D13" s="55"/>
      <c r="E13" s="55"/>
      <c r="F13" s="55"/>
      <c r="G13" s="55"/>
      <c r="H13" s="55"/>
      <c r="I13" s="55"/>
    </row>
    <row r="14" spans="1:12" ht="45.75" customHeight="1" x14ac:dyDescent="0.35">
      <c r="A14" s="54" t="s">
        <v>121</v>
      </c>
      <c r="B14" s="54"/>
      <c r="C14" s="54"/>
      <c r="D14" s="54"/>
      <c r="E14" s="54"/>
      <c r="F14" s="54"/>
      <c r="G14" s="54"/>
      <c r="H14" s="54"/>
      <c r="I14" s="54"/>
      <c r="J14" s="54"/>
      <c r="K14" s="54"/>
      <c r="L14" s="54"/>
    </row>
    <row r="15" spans="1:12" x14ac:dyDescent="0.35">
      <c r="A15" s="50" t="s">
        <v>43</v>
      </c>
      <c r="B15" s="50"/>
      <c r="C15" s="50"/>
      <c r="D15" s="50"/>
      <c r="E15" s="50"/>
      <c r="F15" s="50"/>
      <c r="G15" s="50"/>
      <c r="H15" s="50"/>
      <c r="I15" s="50"/>
    </row>
    <row r="16" spans="1:12" x14ac:dyDescent="0.35">
      <c r="A16" s="50" t="s">
        <v>30</v>
      </c>
      <c r="B16" s="50"/>
      <c r="C16" s="50"/>
      <c r="D16" s="50"/>
      <c r="E16" s="50"/>
      <c r="F16" s="50"/>
      <c r="G16" s="50"/>
      <c r="H16" s="50"/>
      <c r="I16" s="50"/>
    </row>
    <row r="17" spans="1:9" x14ac:dyDescent="0.35">
      <c r="A17" s="50" t="s">
        <v>52</v>
      </c>
      <c r="B17" s="50"/>
      <c r="C17" s="50"/>
      <c r="D17" s="50"/>
      <c r="E17" s="50"/>
      <c r="F17" s="50"/>
      <c r="G17" s="50"/>
      <c r="H17" s="50"/>
      <c r="I17" s="50"/>
    </row>
    <row r="18" spans="1:9" x14ac:dyDescent="0.35">
      <c r="A18" s="50" t="s">
        <v>38</v>
      </c>
      <c r="B18" s="50"/>
      <c r="C18" s="50"/>
      <c r="D18" s="50"/>
      <c r="E18" s="50"/>
      <c r="F18" s="50"/>
      <c r="G18" s="50"/>
      <c r="H18" s="50"/>
      <c r="I18" s="50"/>
    </row>
    <row r="19" spans="1:9" x14ac:dyDescent="0.35">
      <c r="A19" s="50" t="s">
        <v>109</v>
      </c>
      <c r="B19" s="50"/>
      <c r="C19" s="50"/>
      <c r="D19" s="50"/>
      <c r="E19" s="50"/>
      <c r="F19" s="50"/>
      <c r="G19" s="50"/>
      <c r="H19" s="50"/>
      <c r="I19" s="50"/>
    </row>
    <row r="20" spans="1:9" x14ac:dyDescent="0.35">
      <c r="A20" s="50" t="s">
        <v>70</v>
      </c>
      <c r="B20" s="50"/>
      <c r="C20" s="50"/>
      <c r="D20" s="50"/>
      <c r="E20" s="50"/>
      <c r="F20" s="50"/>
      <c r="G20" s="50"/>
      <c r="H20" s="50"/>
      <c r="I20" s="50"/>
    </row>
  </sheetData>
  <mergeCells count="10">
    <mergeCell ref="F10:H10"/>
    <mergeCell ref="K4:L4"/>
    <mergeCell ref="A13:I13"/>
    <mergeCell ref="A15:I15"/>
    <mergeCell ref="A14:L14"/>
    <mergeCell ref="A16:I16"/>
    <mergeCell ref="A17:I17"/>
    <mergeCell ref="A18:I18"/>
    <mergeCell ref="A19:I19"/>
    <mergeCell ref="A20:I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61A0-F7F9-4D4C-8B65-D054BE363FD1}">
  <dimension ref="B2:J43"/>
  <sheetViews>
    <sheetView workbookViewId="0">
      <selection activeCell="P10" sqref="P10"/>
    </sheetView>
  </sheetViews>
  <sheetFormatPr defaultRowHeight="14.5" x14ac:dyDescent="0.35"/>
  <cols>
    <col min="2" max="2" width="21.453125" customWidth="1"/>
    <col min="3" max="8" width="13.54296875" customWidth="1"/>
  </cols>
  <sheetData>
    <row r="2" spans="2:10" ht="15.5" x14ac:dyDescent="0.35">
      <c r="B2" s="56"/>
      <c r="C2" s="56"/>
      <c r="D2" s="56"/>
      <c r="E2" s="56"/>
      <c r="F2" s="56"/>
      <c r="G2" s="56"/>
      <c r="H2" s="56"/>
    </row>
    <row r="3" spans="2:10" ht="15" x14ac:dyDescent="0.35">
      <c r="B3" s="57" t="s">
        <v>71</v>
      </c>
      <c r="C3" s="57"/>
      <c r="D3" s="57"/>
      <c r="E3" s="57"/>
      <c r="F3" s="57"/>
      <c r="G3" s="57"/>
      <c r="H3" s="57"/>
    </row>
    <row r="4" spans="2:10" x14ac:dyDescent="0.35">
      <c r="B4" s="3" t="s">
        <v>72</v>
      </c>
      <c r="C4" s="3" t="s">
        <v>74</v>
      </c>
      <c r="D4" s="3" t="s">
        <v>75</v>
      </c>
      <c r="E4" s="3" t="s">
        <v>77</v>
      </c>
      <c r="F4" s="3" t="s">
        <v>79</v>
      </c>
      <c r="G4" s="3" t="s">
        <v>80</v>
      </c>
      <c r="H4" s="3" t="s">
        <v>82</v>
      </c>
    </row>
    <row r="5" spans="2:10" ht="41.5" x14ac:dyDescent="0.35">
      <c r="B5" s="3" t="s">
        <v>73</v>
      </c>
      <c r="C5" s="3" t="s">
        <v>128</v>
      </c>
      <c r="D5" s="3" t="s">
        <v>76</v>
      </c>
      <c r="E5" s="3" t="s">
        <v>78</v>
      </c>
      <c r="F5" s="3" t="s">
        <v>129</v>
      </c>
      <c r="G5" s="3" t="s">
        <v>81</v>
      </c>
      <c r="H5" s="3" t="s">
        <v>130</v>
      </c>
    </row>
    <row r="6" spans="2:10" x14ac:dyDescent="0.35">
      <c r="B6" s="3" t="s">
        <v>83</v>
      </c>
      <c r="C6" s="6">
        <f>5000*(708/525.4)</f>
        <v>6737.7236391320903</v>
      </c>
      <c r="D6" s="3">
        <v>0</v>
      </c>
      <c r="E6" s="6">
        <f>C6*D6</f>
        <v>0</v>
      </c>
      <c r="F6" s="6">
        <f>3009*(708/603.1)</f>
        <v>3532.3694246393629</v>
      </c>
      <c r="G6" s="3">
        <v>36</v>
      </c>
      <c r="H6" s="44">
        <f>F6*G6</f>
        <v>127165.29928701707</v>
      </c>
      <c r="J6" s="46">
        <f>ROUND(36*F6,-3)</f>
        <v>127000</v>
      </c>
    </row>
    <row r="7" spans="2:10" ht="13.15" customHeight="1" x14ac:dyDescent="0.35"/>
    <row r="8" spans="2:10" ht="31.15" customHeight="1" x14ac:dyDescent="0.35">
      <c r="B8" s="58" t="s">
        <v>125</v>
      </c>
      <c r="C8" s="58"/>
      <c r="D8" s="58"/>
      <c r="E8" s="58"/>
      <c r="F8" s="58"/>
      <c r="G8" s="58"/>
      <c r="H8" s="58"/>
    </row>
    <row r="9" spans="2:10" ht="32.5" customHeight="1" x14ac:dyDescent="0.35">
      <c r="B9" s="58" t="s">
        <v>126</v>
      </c>
      <c r="C9" s="58"/>
      <c r="D9" s="58"/>
      <c r="E9" s="58"/>
      <c r="F9" s="58"/>
      <c r="G9" s="58"/>
      <c r="H9" s="58"/>
    </row>
    <row r="10" spans="2:10" ht="15.5" x14ac:dyDescent="0.35">
      <c r="B10" s="48" t="s">
        <v>127</v>
      </c>
    </row>
    <row r="11" spans="2:10" ht="15.5" x14ac:dyDescent="0.35">
      <c r="B11" s="47"/>
      <c r="C11" s="47"/>
      <c r="D11" s="47"/>
      <c r="E11" s="47"/>
      <c r="F11" s="47"/>
      <c r="G11" s="47"/>
    </row>
    <row r="12" spans="2:10" ht="15.75" customHeight="1" x14ac:dyDescent="0.35">
      <c r="B12" s="47"/>
      <c r="C12" s="47"/>
      <c r="D12" s="47"/>
      <c r="E12" s="47"/>
      <c r="F12" s="47"/>
      <c r="G12" s="47"/>
    </row>
    <row r="28" spans="2:6" ht="15.5" x14ac:dyDescent="0.35">
      <c r="B28" s="56"/>
      <c r="C28" s="56"/>
      <c r="D28" s="56"/>
      <c r="E28" s="56"/>
      <c r="F28" s="56"/>
    </row>
    <row r="35" ht="69" customHeight="1" x14ac:dyDescent="0.35"/>
    <row r="36" ht="30.75" customHeight="1" x14ac:dyDescent="0.35"/>
    <row r="42" ht="67.5" customHeight="1" x14ac:dyDescent="0.35"/>
    <row r="43" ht="26.25" customHeight="1" x14ac:dyDescent="0.35"/>
  </sheetData>
  <mergeCells count="5">
    <mergeCell ref="B28:F28"/>
    <mergeCell ref="B2:H2"/>
    <mergeCell ref="B3:H3"/>
    <mergeCell ref="B9:H9"/>
    <mergeCell ref="B8:H8"/>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A91E-6F6A-4BC2-BF4B-49F307AF0545}">
  <dimension ref="B2:F19"/>
  <sheetViews>
    <sheetView topLeftCell="A8" workbookViewId="0">
      <selection activeCell="G15" sqref="G15"/>
    </sheetView>
  </sheetViews>
  <sheetFormatPr defaultRowHeight="14.5" x14ac:dyDescent="0.35"/>
  <cols>
    <col min="2" max="6" width="14.1796875" customWidth="1"/>
  </cols>
  <sheetData>
    <row r="2" spans="2:6" ht="15" x14ac:dyDescent="0.35">
      <c r="B2" s="59" t="s">
        <v>94</v>
      </c>
      <c r="C2" s="59"/>
      <c r="D2" s="59"/>
      <c r="E2" s="59"/>
      <c r="F2" s="59"/>
    </row>
    <row r="3" spans="2:6" x14ac:dyDescent="0.35">
      <c r="B3" s="28" t="s">
        <v>72</v>
      </c>
      <c r="C3" s="28" t="s">
        <v>74</v>
      </c>
      <c r="D3" s="28" t="s">
        <v>75</v>
      </c>
      <c r="E3" s="28" t="s">
        <v>77</v>
      </c>
      <c r="F3" s="28" t="s">
        <v>79</v>
      </c>
    </row>
    <row r="4" spans="2:6" ht="57.5" x14ac:dyDescent="0.35">
      <c r="B4" s="28" t="s">
        <v>95</v>
      </c>
      <c r="C4" s="28" t="s">
        <v>84</v>
      </c>
      <c r="D4" s="28" t="s">
        <v>96</v>
      </c>
      <c r="E4" s="28" t="s">
        <v>97</v>
      </c>
      <c r="F4" s="28" t="s">
        <v>105</v>
      </c>
    </row>
    <row r="5" spans="2:6" x14ac:dyDescent="0.35">
      <c r="B5" s="60" t="s">
        <v>111</v>
      </c>
      <c r="C5" s="60"/>
      <c r="D5" s="60"/>
      <c r="E5" s="60"/>
      <c r="F5" s="60"/>
    </row>
    <row r="6" spans="2:6" x14ac:dyDescent="0.35">
      <c r="B6" s="29" t="s">
        <v>99</v>
      </c>
      <c r="C6" s="30">
        <v>0</v>
      </c>
      <c r="D6" s="30">
        <v>0</v>
      </c>
      <c r="E6" s="30">
        <v>0</v>
      </c>
      <c r="F6" s="30">
        <f>(C6*D6)+E6</f>
        <v>0</v>
      </c>
    </row>
    <row r="7" spans="2:6" x14ac:dyDescent="0.35">
      <c r="B7" s="29" t="s">
        <v>100</v>
      </c>
      <c r="C7" s="30">
        <v>0</v>
      </c>
      <c r="D7" s="30">
        <v>0</v>
      </c>
      <c r="E7" s="30">
        <v>0</v>
      </c>
      <c r="F7" s="30">
        <f>(C7*D7)+E7</f>
        <v>0</v>
      </c>
    </row>
    <row r="8" spans="2:6" ht="92" x14ac:dyDescent="0.35">
      <c r="B8" s="29" t="s">
        <v>101</v>
      </c>
      <c r="C8" s="30">
        <v>0</v>
      </c>
      <c r="D8" s="30">
        <v>0</v>
      </c>
      <c r="E8" s="30">
        <f>'Table 1a'!E8</f>
        <v>20</v>
      </c>
      <c r="F8" s="30">
        <f>(C8*D8)+E8</f>
        <v>20</v>
      </c>
    </row>
    <row r="9" spans="2:6" ht="34.5" x14ac:dyDescent="0.35">
      <c r="B9" s="29" t="s">
        <v>102</v>
      </c>
      <c r="C9" s="30">
        <v>0</v>
      </c>
      <c r="D9" s="30">
        <v>0</v>
      </c>
      <c r="E9" s="30">
        <f>'Table 1a'!E8</f>
        <v>20</v>
      </c>
      <c r="F9" s="30">
        <f>(C9*D9)+E9</f>
        <v>20</v>
      </c>
    </row>
    <row r="10" spans="2:6" x14ac:dyDescent="0.35">
      <c r="B10" s="61"/>
      <c r="C10" s="61"/>
      <c r="D10" s="61"/>
      <c r="E10" s="61" t="s">
        <v>103</v>
      </c>
      <c r="F10" s="61">
        <f>SUM(F6:F9)</f>
        <v>40</v>
      </c>
    </row>
    <row r="11" spans="2:6" x14ac:dyDescent="0.35">
      <c r="B11" s="61"/>
      <c r="C11" s="61"/>
      <c r="D11" s="61"/>
      <c r="E11" s="61"/>
      <c r="F11" s="61"/>
    </row>
    <row r="12" spans="2:6" x14ac:dyDescent="0.35">
      <c r="B12" s="60" t="s">
        <v>98</v>
      </c>
      <c r="C12" s="60"/>
      <c r="D12" s="60"/>
      <c r="E12" s="60"/>
      <c r="F12" s="60"/>
    </row>
    <row r="13" spans="2:6" x14ac:dyDescent="0.35">
      <c r="B13" s="29" t="s">
        <v>99</v>
      </c>
      <c r="C13" s="30">
        <v>0</v>
      </c>
      <c r="D13" s="30">
        <v>0</v>
      </c>
      <c r="E13" s="30">
        <v>0</v>
      </c>
      <c r="F13" s="30">
        <f>(C13*D13)+E13</f>
        <v>0</v>
      </c>
    </row>
    <row r="14" spans="2:6" x14ac:dyDescent="0.35">
      <c r="B14" s="29" t="s">
        <v>100</v>
      </c>
      <c r="C14" s="30">
        <v>0</v>
      </c>
      <c r="D14" s="30">
        <v>0</v>
      </c>
      <c r="E14" s="30">
        <v>0</v>
      </c>
      <c r="F14" s="30">
        <f t="shared" ref="F14:F16" si="0">(C14*D14)+E14</f>
        <v>0</v>
      </c>
    </row>
    <row r="15" spans="2:6" ht="92" x14ac:dyDescent="0.35">
      <c r="B15" s="29" t="s">
        <v>101</v>
      </c>
      <c r="C15" s="30">
        <v>0</v>
      </c>
      <c r="D15" s="30">
        <v>0</v>
      </c>
      <c r="E15" s="30">
        <f>'Table 1b'!E8</f>
        <v>16</v>
      </c>
      <c r="F15" s="30">
        <f t="shared" si="0"/>
        <v>16</v>
      </c>
    </row>
    <row r="16" spans="2:6" ht="34.5" x14ac:dyDescent="0.35">
      <c r="B16" s="29" t="s">
        <v>102</v>
      </c>
      <c r="C16" s="30">
        <v>0</v>
      </c>
      <c r="D16" s="30">
        <v>0</v>
      </c>
      <c r="E16" s="30">
        <f>'Table 1b'!E8</f>
        <v>16</v>
      </c>
      <c r="F16" s="30">
        <f t="shared" si="0"/>
        <v>16</v>
      </c>
    </row>
    <row r="17" spans="2:6" x14ac:dyDescent="0.35">
      <c r="B17" s="62"/>
      <c r="C17" s="61"/>
      <c r="D17" s="61"/>
      <c r="E17" s="61" t="s">
        <v>103</v>
      </c>
      <c r="F17" s="61">
        <f>SUM(F13:F16)</f>
        <v>32</v>
      </c>
    </row>
    <row r="18" spans="2:6" x14ac:dyDescent="0.35">
      <c r="B18" s="62"/>
      <c r="C18" s="61"/>
      <c r="D18" s="61"/>
      <c r="E18" s="61"/>
      <c r="F18" s="61"/>
    </row>
    <row r="19" spans="2:6" x14ac:dyDescent="0.35">
      <c r="B19" s="29"/>
      <c r="C19" s="30"/>
      <c r="D19" s="30"/>
      <c r="E19" s="31" t="s">
        <v>104</v>
      </c>
      <c r="F19" s="31">
        <f>F10+F17</f>
        <v>72</v>
      </c>
    </row>
  </sheetData>
  <mergeCells count="13">
    <mergeCell ref="B12:F12"/>
    <mergeCell ref="B17:B18"/>
    <mergeCell ref="C17:C18"/>
    <mergeCell ref="D17:D18"/>
    <mergeCell ref="E17:E18"/>
    <mergeCell ref="F17:F18"/>
    <mergeCell ref="B2:F2"/>
    <mergeCell ref="B5:F5"/>
    <mergeCell ref="B10:B11"/>
    <mergeCell ref="C10:C11"/>
    <mergeCell ref="D10:D11"/>
    <mergeCell ref="E10:E11"/>
    <mergeCell ref="F10: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1AB3-B0A5-4971-8CF4-DA3D4887B353}">
  <dimension ref="B2:G17"/>
  <sheetViews>
    <sheetView workbookViewId="0">
      <selection activeCell="D10" sqref="D10"/>
    </sheetView>
  </sheetViews>
  <sheetFormatPr defaultRowHeight="14.5" x14ac:dyDescent="0.35"/>
  <cols>
    <col min="2" max="7" width="13" customWidth="1"/>
  </cols>
  <sheetData>
    <row r="2" spans="2:7" ht="15" x14ac:dyDescent="0.35">
      <c r="B2" s="59" t="s">
        <v>84</v>
      </c>
      <c r="C2" s="59"/>
      <c r="D2" s="59"/>
      <c r="E2" s="59"/>
      <c r="F2" s="59"/>
      <c r="G2" s="59"/>
    </row>
    <row r="3" spans="2:7" ht="34.5" x14ac:dyDescent="0.35">
      <c r="B3" s="26"/>
      <c r="C3" s="64" t="s">
        <v>85</v>
      </c>
      <c r="D3" s="64"/>
      <c r="E3" s="27" t="s">
        <v>86</v>
      </c>
      <c r="F3" s="27"/>
      <c r="G3" s="27"/>
    </row>
    <row r="4" spans="2:7" x14ac:dyDescent="0.35">
      <c r="B4" s="15"/>
      <c r="C4" s="3" t="s">
        <v>72</v>
      </c>
      <c r="D4" s="3" t="s">
        <v>74</v>
      </c>
      <c r="E4" s="3" t="s">
        <v>75</v>
      </c>
      <c r="F4" s="3" t="s">
        <v>77</v>
      </c>
      <c r="G4" s="3" t="s">
        <v>79</v>
      </c>
    </row>
    <row r="5" spans="2:7" ht="78" x14ac:dyDescent="0.35">
      <c r="B5" s="3" t="s">
        <v>87</v>
      </c>
      <c r="C5" s="15" t="s">
        <v>88</v>
      </c>
      <c r="D5" s="15" t="s">
        <v>89</v>
      </c>
      <c r="E5" s="15" t="s">
        <v>90</v>
      </c>
      <c r="F5" s="15" t="s">
        <v>91</v>
      </c>
      <c r="G5" s="15" t="s">
        <v>93</v>
      </c>
    </row>
    <row r="6" spans="2:7" x14ac:dyDescent="0.35">
      <c r="B6" s="65" t="s">
        <v>98</v>
      </c>
      <c r="C6" s="65"/>
      <c r="D6" s="65"/>
      <c r="E6" s="65"/>
      <c r="F6" s="65"/>
      <c r="G6" s="65"/>
    </row>
    <row r="7" spans="2:7" x14ac:dyDescent="0.35">
      <c r="B7" s="28">
        <v>1</v>
      </c>
      <c r="C7" s="28">
        <v>0</v>
      </c>
      <c r="D7" s="28">
        <v>20</v>
      </c>
      <c r="E7" s="28">
        <v>0</v>
      </c>
      <c r="F7" s="28">
        <v>0</v>
      </c>
      <c r="G7" s="28">
        <f>C7+D7+E7-F7</f>
        <v>20</v>
      </c>
    </row>
    <row r="8" spans="2:7" x14ac:dyDescent="0.35">
      <c r="B8" s="28">
        <v>2</v>
      </c>
      <c r="C8" s="28">
        <v>0</v>
      </c>
      <c r="D8" s="28">
        <v>20</v>
      </c>
      <c r="E8" s="28">
        <v>0</v>
      </c>
      <c r="F8" s="28">
        <v>0</v>
      </c>
      <c r="G8" s="28">
        <f t="shared" ref="G8:G9" si="0">C8+D8+E8-F8</f>
        <v>20</v>
      </c>
    </row>
    <row r="9" spans="2:7" x14ac:dyDescent="0.35">
      <c r="B9" s="28">
        <v>3</v>
      </c>
      <c r="C9" s="28">
        <v>0</v>
      </c>
      <c r="D9" s="28">
        <v>20</v>
      </c>
      <c r="E9" s="28">
        <v>0</v>
      </c>
      <c r="F9" s="28">
        <v>0</v>
      </c>
      <c r="G9" s="28">
        <f t="shared" si="0"/>
        <v>20</v>
      </c>
    </row>
    <row r="10" spans="2:7" x14ac:dyDescent="0.35">
      <c r="B10" s="28" t="s">
        <v>122</v>
      </c>
      <c r="C10" s="28">
        <f>AVERAGE(C7:C9)</f>
        <v>0</v>
      </c>
      <c r="D10" s="28">
        <f t="shared" ref="D10:G10" si="1">AVERAGE(D7:D9)</f>
        <v>20</v>
      </c>
      <c r="E10" s="28">
        <f t="shared" si="1"/>
        <v>0</v>
      </c>
      <c r="F10" s="28">
        <f t="shared" si="1"/>
        <v>0</v>
      </c>
      <c r="G10" s="28">
        <f t="shared" si="1"/>
        <v>20</v>
      </c>
    </row>
    <row r="11" spans="2:7" x14ac:dyDescent="0.35">
      <c r="B11" s="65" t="s">
        <v>111</v>
      </c>
      <c r="C11" s="65"/>
      <c r="D11" s="65"/>
      <c r="E11" s="65"/>
      <c r="F11" s="65"/>
      <c r="G11" s="65"/>
    </row>
    <row r="12" spans="2:7" x14ac:dyDescent="0.35">
      <c r="B12" s="28">
        <v>1</v>
      </c>
      <c r="C12" s="28">
        <v>0</v>
      </c>
      <c r="D12" s="28">
        <v>16</v>
      </c>
      <c r="E12" s="28">
        <v>0</v>
      </c>
      <c r="F12" s="28">
        <v>0</v>
      </c>
      <c r="G12" s="28">
        <f t="shared" ref="G12:G14" si="2">C12+D12+E12+F12</f>
        <v>16</v>
      </c>
    </row>
    <row r="13" spans="2:7" x14ac:dyDescent="0.35">
      <c r="B13" s="28">
        <v>2</v>
      </c>
      <c r="C13" s="28">
        <v>0</v>
      </c>
      <c r="D13" s="28">
        <v>16</v>
      </c>
      <c r="E13" s="28">
        <v>0</v>
      </c>
      <c r="F13" s="28">
        <v>0</v>
      </c>
      <c r="G13" s="28">
        <f t="shared" si="2"/>
        <v>16</v>
      </c>
    </row>
    <row r="14" spans="2:7" x14ac:dyDescent="0.35">
      <c r="B14" s="28">
        <v>3</v>
      </c>
      <c r="C14" s="28">
        <v>0</v>
      </c>
      <c r="D14" s="28">
        <v>16</v>
      </c>
      <c r="E14" s="28">
        <v>0</v>
      </c>
      <c r="F14" s="28">
        <v>0</v>
      </c>
      <c r="G14" s="28">
        <f t="shared" si="2"/>
        <v>16</v>
      </c>
    </row>
    <row r="15" spans="2:7" x14ac:dyDescent="0.35">
      <c r="B15" s="28" t="s">
        <v>122</v>
      </c>
      <c r="C15" s="28">
        <f>AVERAGE(C12:C14)</f>
        <v>0</v>
      </c>
      <c r="D15" s="28">
        <f t="shared" ref="D15" si="3">AVERAGE(D12:D14)</f>
        <v>16</v>
      </c>
      <c r="E15" s="28">
        <f t="shared" ref="E15" si="4">AVERAGE(E12:E14)</f>
        <v>0</v>
      </c>
      <c r="F15" s="28">
        <f t="shared" ref="F15" si="5">AVERAGE(F12:F14)</f>
        <v>0</v>
      </c>
      <c r="G15" s="28">
        <f t="shared" ref="G15" si="6">AVERAGE(G12:G14)</f>
        <v>16</v>
      </c>
    </row>
    <row r="16" spans="2:7" x14ac:dyDescent="0.35">
      <c r="B16" s="63"/>
      <c r="C16" s="63"/>
      <c r="D16" s="63"/>
      <c r="E16" s="63"/>
      <c r="F16" s="41" t="s">
        <v>103</v>
      </c>
      <c r="G16" s="28">
        <f>G10+G15</f>
        <v>36</v>
      </c>
    </row>
    <row r="17" spans="2:2" ht="18.5" x14ac:dyDescent="0.35">
      <c r="B17" s="25" t="s">
        <v>92</v>
      </c>
    </row>
  </sheetData>
  <mergeCells count="5">
    <mergeCell ref="B2:G2"/>
    <mergeCell ref="B16:E16"/>
    <mergeCell ref="C3:D3"/>
    <mergeCell ref="B6:G6"/>
    <mergeCell ref="B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Table 1a</vt:lpstr>
      <vt:lpstr>Table 1b</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2016-03-28T13:07:50Z</dcterms:created>
  <dcterms:modified xsi:type="dcterms:W3CDTF">2023-03-20T14:29:17Z</dcterms:modified>
</cp:coreProperties>
</file>