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usepa-my.sharepoint.com/personal/wrigley_william_epa_gov/Documents/Desktop/temp/"/>
    </mc:Choice>
  </mc:AlternateContent>
  <xr:revisionPtr revIDLastSave="0" documentId="8_{4A03C9E8-BFF7-4E75-8029-4013DE2D7DCC}" xr6:coauthVersionLast="47" xr6:coauthVersionMax="47" xr10:uidLastSave="{00000000-0000-0000-0000-000000000000}"/>
  <bookViews>
    <workbookView xWindow="-110" yWindow="-110" windowWidth="19420" windowHeight="10300" xr2:uid="{00000000-000D-0000-FFFF-FFFF00000000}"/>
  </bookViews>
  <sheets>
    <sheet name="Summary" sheetId="7" r:id="rId1"/>
    <sheet name="Table 1a" sheetId="1" r:id="rId2"/>
    <sheet name="Table 1b" sheetId="3" r:id="rId3"/>
    <sheet name="Table 2" sheetId="2" r:id="rId4"/>
    <sheet name="Capital O&amp;M" sheetId="4" r:id="rId5"/>
    <sheet name="Responses" sheetId="6" r:id="rId6"/>
    <sheet name="Respondents" sheetId="5"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3" i="1" l="1"/>
  <c r="F19" i="6"/>
  <c r="B7" i="7"/>
  <c r="L34" i="1"/>
  <c r="B5" i="7"/>
  <c r="L32" i="1"/>
  <c r="J6" i="4"/>
  <c r="I33" i="3" s="1"/>
  <c r="F6" i="4"/>
  <c r="C6" i="4"/>
  <c r="G8" i="5"/>
  <c r="G9" i="5"/>
  <c r="G7" i="5"/>
  <c r="E9" i="2"/>
  <c r="B6" i="7" l="1"/>
  <c r="G15" i="5"/>
  <c r="F15" i="5"/>
  <c r="E15" i="5"/>
  <c r="D15" i="5"/>
  <c r="C15" i="5"/>
  <c r="D10" i="5"/>
  <c r="E10" i="5"/>
  <c r="F10" i="5"/>
  <c r="C10" i="5"/>
  <c r="I33" i="1"/>
  <c r="H6" i="4"/>
  <c r="E6" i="4"/>
  <c r="G13" i="5"/>
  <c r="G14" i="5"/>
  <c r="G12" i="5"/>
  <c r="G10" i="5"/>
  <c r="G16" i="5" s="1"/>
  <c r="F17" i="6"/>
  <c r="F14" i="6"/>
  <c r="F15" i="6"/>
  <c r="F16" i="6"/>
  <c r="F13" i="6"/>
  <c r="F7" i="6"/>
  <c r="F6" i="6"/>
  <c r="F8" i="3"/>
  <c r="F27" i="3"/>
  <c r="E16" i="6"/>
  <c r="E15" i="6"/>
  <c r="E9" i="6"/>
  <c r="F9" i="6" s="1"/>
  <c r="E8" i="6"/>
  <c r="F8" i="6" s="1"/>
  <c r="B3" i="7" l="1"/>
  <c r="F10" i="6"/>
  <c r="D10" i="1" l="1"/>
  <c r="D28" i="3" l="1"/>
  <c r="F28" i="3" s="1"/>
  <c r="D27" i="3"/>
  <c r="D19" i="3"/>
  <c r="F19" i="3" s="1"/>
  <c r="G19" i="3" s="1"/>
  <c r="D18" i="3"/>
  <c r="F18" i="3" s="1"/>
  <c r="D17" i="3"/>
  <c r="F17" i="3" s="1"/>
  <c r="D16" i="3"/>
  <c r="F16" i="3" s="1"/>
  <c r="H16" i="3" s="1"/>
  <c r="D15" i="3"/>
  <c r="F15" i="3" s="1"/>
  <c r="G15" i="3" s="1"/>
  <c r="D14" i="3"/>
  <c r="F14" i="3" s="1"/>
  <c r="D10" i="3"/>
  <c r="F10" i="3" s="1"/>
  <c r="D8" i="3"/>
  <c r="H18" i="3" l="1"/>
  <c r="G18" i="3"/>
  <c r="H17" i="3"/>
  <c r="G17" i="3"/>
  <c r="G27" i="3"/>
  <c r="H27" i="3"/>
  <c r="H28" i="3"/>
  <c r="G28" i="3"/>
  <c r="I28" i="3" s="1"/>
  <c r="G8" i="3"/>
  <c r="H8" i="3"/>
  <c r="H10" i="3"/>
  <c r="G10" i="3"/>
  <c r="H14" i="3"/>
  <c r="G14" i="3"/>
  <c r="I14" i="3" s="1"/>
  <c r="H15" i="3"/>
  <c r="I15" i="3" s="1"/>
  <c r="G16" i="3"/>
  <c r="I16" i="3" s="1"/>
  <c r="H19" i="3"/>
  <c r="I19" i="3" s="1"/>
  <c r="F31" i="3" l="1"/>
  <c r="F32" i="3" s="1"/>
  <c r="F20" i="3"/>
  <c r="I8" i="3"/>
  <c r="I18" i="3"/>
  <c r="I17" i="3"/>
  <c r="I27" i="3"/>
  <c r="I31" i="3" s="1"/>
  <c r="I10" i="3"/>
  <c r="I20" i="3" l="1"/>
  <c r="I32" i="3" s="1"/>
  <c r="I34" i="3" s="1"/>
  <c r="D5" i="2" l="1"/>
  <c r="F5" i="2" s="1"/>
  <c r="D6" i="2"/>
  <c r="F6" i="2" s="1"/>
  <c r="D7" i="2"/>
  <c r="F7" i="2" s="1"/>
  <c r="G7" i="2" s="1"/>
  <c r="D8" i="2"/>
  <c r="F8" i="2" s="1"/>
  <c r="D9" i="2"/>
  <c r="F9" i="2" s="1"/>
  <c r="D4" i="2"/>
  <c r="F4" i="2" s="1"/>
  <c r="H4" i="2" l="1"/>
  <c r="G4" i="2"/>
  <c r="H6" i="2"/>
  <c r="G6" i="2"/>
  <c r="I6" i="2" s="1"/>
  <c r="H9" i="2"/>
  <c r="G9" i="2"/>
  <c r="I9" i="2" s="1"/>
  <c r="H5" i="2"/>
  <c r="G5" i="2"/>
  <c r="H8" i="2"/>
  <c r="H7" i="2"/>
  <c r="I7" i="2" s="1"/>
  <c r="G8" i="2"/>
  <c r="F10" i="1"/>
  <c r="D14" i="1"/>
  <c r="F14" i="1" s="1"/>
  <c r="D15" i="1"/>
  <c r="F15" i="1" s="1"/>
  <c r="D16" i="1"/>
  <c r="F16" i="1" s="1"/>
  <c r="D17" i="1"/>
  <c r="F17" i="1" s="1"/>
  <c r="D18" i="1"/>
  <c r="F18" i="1" s="1"/>
  <c r="D19" i="1"/>
  <c r="F19" i="1" s="1"/>
  <c r="D27" i="1"/>
  <c r="F27" i="1" s="1"/>
  <c r="D28" i="1"/>
  <c r="F28" i="1" s="1"/>
  <c r="D8" i="1"/>
  <c r="F8" i="1" s="1"/>
  <c r="I5" i="2" l="1"/>
  <c r="G15" i="1"/>
  <c r="H15" i="1"/>
  <c r="G18" i="1"/>
  <c r="H18" i="1"/>
  <c r="I18" i="1" s="1"/>
  <c r="H16" i="1"/>
  <c r="G16" i="1"/>
  <c r="G19" i="1"/>
  <c r="H19" i="1"/>
  <c r="G14" i="1"/>
  <c r="H14" i="1"/>
  <c r="G28" i="1"/>
  <c r="H28" i="1"/>
  <c r="G17" i="1"/>
  <c r="H17" i="1"/>
  <c r="G10" i="1"/>
  <c r="H10" i="1"/>
  <c r="G8" i="1"/>
  <c r="H8" i="1"/>
  <c r="F10" i="2"/>
  <c r="I4" i="2"/>
  <c r="I8" i="2"/>
  <c r="H27" i="1"/>
  <c r="G27" i="1"/>
  <c r="F31" i="1" s="1"/>
  <c r="F20" i="1" l="1"/>
  <c r="F32" i="1" s="1"/>
  <c r="L31" i="1" s="1"/>
  <c r="I16" i="1"/>
  <c r="I10" i="2"/>
  <c r="I17" i="1"/>
  <c r="I19" i="1"/>
  <c r="I28" i="1"/>
  <c r="I15" i="1"/>
  <c r="I27" i="1"/>
  <c r="I8" i="1"/>
  <c r="I10" i="1"/>
  <c r="I14" i="1"/>
  <c r="B2" i="7" l="1"/>
  <c r="B4" i="7"/>
  <c r="I20" i="1"/>
  <c r="I31" i="1"/>
  <c r="I32" i="1" l="1"/>
  <c r="I34" i="1" l="1"/>
</calcChain>
</file>

<file path=xl/sharedStrings.xml><?xml version="1.0" encoding="utf-8"?>
<sst xmlns="http://schemas.openxmlformats.org/spreadsheetml/2006/main" count="233" uniqueCount="131">
  <si>
    <t>Burden Item</t>
  </si>
  <si>
    <t>1.  Applications</t>
  </si>
  <si>
    <t>N/A</t>
  </si>
  <si>
    <t>2.  Survey and Studies</t>
  </si>
  <si>
    <t>3.  Reporting Requirements</t>
  </si>
  <si>
    <t xml:space="preserve">     B. Required activities</t>
  </si>
  <si>
    <t xml:space="preserve">     C. Create information on performance test</t>
  </si>
  <si>
    <t>See 3B</t>
  </si>
  <si>
    <t xml:space="preserve">     D. Gather existing information</t>
  </si>
  <si>
    <t>See 3E</t>
  </si>
  <si>
    <t xml:space="preserve">     E.  Write Report</t>
  </si>
  <si>
    <t xml:space="preserve">          Notification of physical and operational changes which may increase emission rates of any regulated pollutants</t>
  </si>
  <si>
    <t>4.  Recordkeeping Requirements</t>
  </si>
  <si>
    <t>See 4E</t>
  </si>
  <si>
    <t xml:space="preserve">     B.  Plan activities</t>
  </si>
  <si>
    <t xml:space="preserve">     C.  Implement activities</t>
  </si>
  <si>
    <t xml:space="preserve">     D.  Develop record system</t>
  </si>
  <si>
    <t xml:space="preserve">     E.  Time to enter information</t>
  </si>
  <si>
    <t xml:space="preserve">          Record of occurrence and duration of startup, shutdown, or malfunction; emissions monitoring system; and initial performance test results</t>
  </si>
  <si>
    <t xml:space="preserve">     F.  Time to train personnel</t>
  </si>
  <si>
    <t xml:space="preserve">     G.  Time for audits</t>
  </si>
  <si>
    <t>(A)
Technical person-hours per occurrence</t>
  </si>
  <si>
    <t>(B)
No. of occurrences  per respondent per year</t>
  </si>
  <si>
    <r>
      <t xml:space="preserve">(D)
Respondents per year </t>
    </r>
    <r>
      <rPr>
        <b/>
        <vertAlign val="superscript"/>
        <sz val="10"/>
        <color theme="1"/>
        <rFont val="Times New Roman"/>
        <family val="1"/>
      </rPr>
      <t>a</t>
    </r>
  </si>
  <si>
    <t>(E)
Technical hours per year
(E=CxD)</t>
  </si>
  <si>
    <t>(C)
Technical person-hours per respondent per year 
(C=AxB)</t>
  </si>
  <si>
    <t>(F)
Management hours per year (F=Ex0.05)</t>
  </si>
  <si>
    <t>(G)
Clerical hours per year
(G=Ex0.1)</t>
  </si>
  <si>
    <r>
      <t xml:space="preserve">(H)
Total cost per year ($) </t>
    </r>
    <r>
      <rPr>
        <b/>
        <vertAlign val="superscript"/>
        <sz val="10"/>
        <color theme="1"/>
        <rFont val="Times New Roman"/>
        <family val="1"/>
      </rPr>
      <t>b</t>
    </r>
  </si>
  <si>
    <t>Assumptions:</t>
  </si>
  <si>
    <r>
      <rPr>
        <vertAlign val="superscript"/>
        <sz val="10"/>
        <color theme="1"/>
        <rFont val="Times New Roman"/>
        <family val="1"/>
      </rPr>
      <t>d</t>
    </r>
    <r>
      <rPr>
        <sz val="10"/>
        <color theme="1"/>
        <rFont val="Times New Roman"/>
        <family val="1"/>
      </rPr>
      <t xml:space="preserve">  We assume this is a one-time-only cost.</t>
    </r>
  </si>
  <si>
    <t>Table 2: Average Annual EPA Burden and Cost – NSPS for Incinerators (40 CFR Part 60, Subpart E) (Renewal)</t>
  </si>
  <si>
    <t>Notification of physical and operational changes which may increase emission rates of any regulated pollutant</t>
  </si>
  <si>
    <t>(B)
No. of occurrences per respondent per year</t>
  </si>
  <si>
    <t>(C)
Technical person-hours per respondent per year
(C=AxB)</t>
  </si>
  <si>
    <t>(F)
Management hours per year 
(F=Ex0.05)</t>
  </si>
  <si>
    <t>(E)
Technical hours per year (E=CxD)</t>
  </si>
  <si>
    <t>(G)
Clerical hours per year (G=Ex0.10)</t>
  </si>
  <si>
    <r>
      <rPr>
        <vertAlign val="superscript"/>
        <sz val="10"/>
        <color theme="1"/>
        <rFont val="Times New Roman"/>
        <family val="1"/>
      </rPr>
      <t>f</t>
    </r>
    <r>
      <rPr>
        <sz val="10"/>
        <color theme="1"/>
        <rFont val="Times New Roman"/>
        <family val="1"/>
      </rPr>
      <t xml:space="preserve">  We assume it will take eight hours to review test results.</t>
    </r>
  </si>
  <si>
    <r>
      <t xml:space="preserve">Notification of construction/ reconstruction </t>
    </r>
    <r>
      <rPr>
        <vertAlign val="superscript"/>
        <sz val="10"/>
        <color rgb="FF000000"/>
        <rFont val="Times New Roman"/>
        <family val="1"/>
      </rPr>
      <t>c, d</t>
    </r>
  </si>
  <si>
    <r>
      <t xml:space="preserve">Notification of actual startup </t>
    </r>
    <r>
      <rPr>
        <vertAlign val="superscript"/>
        <sz val="10"/>
        <color rgb="FF000000"/>
        <rFont val="Times New Roman"/>
        <family val="1"/>
      </rPr>
      <t>c, d</t>
    </r>
  </si>
  <si>
    <r>
      <t xml:space="preserve">Compliance status report </t>
    </r>
    <r>
      <rPr>
        <vertAlign val="superscript"/>
        <sz val="10"/>
        <color rgb="FF000000"/>
        <rFont val="Times New Roman"/>
        <family val="1"/>
      </rPr>
      <t>e</t>
    </r>
  </si>
  <si>
    <r>
      <t>Test results</t>
    </r>
    <r>
      <rPr>
        <vertAlign val="superscript"/>
        <sz val="10"/>
        <color rgb="FF000000"/>
        <rFont val="Times New Roman"/>
        <family val="1"/>
      </rPr>
      <t xml:space="preserve"> e, f</t>
    </r>
  </si>
  <si>
    <r>
      <rPr>
        <vertAlign val="superscript"/>
        <sz val="10"/>
        <color theme="1"/>
        <rFont val="Times New Roman"/>
        <family val="1"/>
      </rPr>
      <t>c</t>
    </r>
    <r>
      <rPr>
        <sz val="10"/>
        <color theme="1"/>
        <rFont val="Times New Roman"/>
        <family val="1"/>
      </rPr>
      <t xml:space="preserve">  We assume there will be no new, modified, or reconstructed facilities constructed over the next three years.</t>
    </r>
  </si>
  <si>
    <t>Labor Rates</t>
  </si>
  <si>
    <t>Management</t>
  </si>
  <si>
    <t>Technical</t>
  </si>
  <si>
    <t>Clerical</t>
  </si>
  <si>
    <t>Table 1a: Annual Respondent Burden and Cost for Privately-Owned Incinerators – NSPS for Incinerators (40 CFR Part 60, Subpart E) (Renewal)</t>
  </si>
  <si>
    <t>Table 1b: Annual Respondent Burden and Cost for Publicly-Owned Incinerators – NSPS for Incinerators (40 CFR Part 60, Subpart E) (Renewal)</t>
  </si>
  <si>
    <t>Subtotal for Reporting Requirements</t>
  </si>
  <si>
    <t>Subtotal for Recordkeeping Requirements</t>
  </si>
  <si>
    <r>
      <rPr>
        <vertAlign val="superscript"/>
        <sz val="10"/>
        <color theme="1"/>
        <rFont val="Times New Roman"/>
        <family val="1"/>
      </rPr>
      <t>e</t>
    </r>
    <r>
      <rPr>
        <sz val="10"/>
        <color theme="1"/>
        <rFont val="Times New Roman"/>
        <family val="1"/>
      </rPr>
      <t xml:space="preserve">  This rule does not require semiannual or annual reporting, only recordkeeping.</t>
    </r>
  </si>
  <si>
    <r>
      <t xml:space="preserve">TOTAL (rounded) </t>
    </r>
    <r>
      <rPr>
        <b/>
        <vertAlign val="superscript"/>
        <sz val="10"/>
        <color rgb="FF000000"/>
        <rFont val="Times New Roman"/>
        <family val="1"/>
      </rPr>
      <t xml:space="preserve">h </t>
    </r>
  </si>
  <si>
    <r>
      <t xml:space="preserve">Audit and review facility records </t>
    </r>
    <r>
      <rPr>
        <vertAlign val="superscript"/>
        <sz val="10"/>
        <color rgb="FF000000"/>
        <rFont val="Times New Roman"/>
        <family val="1"/>
      </rPr>
      <t xml:space="preserve">g </t>
    </r>
  </si>
  <si>
    <r>
      <rPr>
        <vertAlign val="superscript"/>
        <sz val="10"/>
        <color theme="1"/>
        <rFont val="Times New Roman"/>
        <family val="1"/>
      </rPr>
      <t>c</t>
    </r>
    <r>
      <rPr>
        <sz val="10"/>
        <color theme="1"/>
        <rFont val="Times New Roman"/>
        <family val="1"/>
      </rPr>
      <t xml:space="preserve">  We assume that all sources will have to familiarize themselves with regulatory requirements each year.</t>
    </r>
  </si>
  <si>
    <r>
      <t xml:space="preserve">     A. Familiarize with regulatory requirements </t>
    </r>
    <r>
      <rPr>
        <vertAlign val="superscript"/>
        <sz val="10"/>
        <color rgb="FF000000"/>
        <rFont val="Times New Roman"/>
        <family val="1"/>
      </rPr>
      <t>c</t>
    </r>
  </si>
  <si>
    <r>
      <t xml:space="preserve">          Initial performance test </t>
    </r>
    <r>
      <rPr>
        <vertAlign val="superscript"/>
        <sz val="10"/>
        <color rgb="FF000000"/>
        <rFont val="Times New Roman"/>
        <family val="1"/>
      </rPr>
      <t>d, e</t>
    </r>
  </si>
  <si>
    <r>
      <t xml:space="preserve">GRAND TOTAL (rounded) </t>
    </r>
    <r>
      <rPr>
        <b/>
        <vertAlign val="superscript"/>
        <sz val="10"/>
        <color theme="1"/>
        <rFont val="Times New Roman"/>
        <family val="1"/>
      </rPr>
      <t>h</t>
    </r>
  </si>
  <si>
    <r>
      <t xml:space="preserve">Total Capital and O&amp;M Cost (rounded) </t>
    </r>
    <r>
      <rPr>
        <b/>
        <vertAlign val="superscript"/>
        <sz val="10"/>
        <color theme="1"/>
        <rFont val="Times New Roman"/>
        <family val="1"/>
      </rPr>
      <t>h</t>
    </r>
  </si>
  <si>
    <r>
      <t xml:space="preserve">Total Labor Burden and Costs (rounded) </t>
    </r>
    <r>
      <rPr>
        <b/>
        <vertAlign val="superscript"/>
        <sz val="10"/>
        <color theme="1"/>
        <rFont val="Times New Roman"/>
        <family val="1"/>
      </rPr>
      <t>h</t>
    </r>
  </si>
  <si>
    <r>
      <t xml:space="preserve">          Notification of construction/ reconstruction </t>
    </r>
    <r>
      <rPr>
        <vertAlign val="superscript"/>
        <sz val="10"/>
        <color rgb="FF000000"/>
        <rFont val="Times New Roman"/>
        <family val="1"/>
      </rPr>
      <t>d</t>
    </r>
  </si>
  <si>
    <r>
      <t xml:space="preserve">          Notification of actual startup </t>
    </r>
    <r>
      <rPr>
        <vertAlign val="superscript"/>
        <sz val="10"/>
        <color rgb="FF000000"/>
        <rFont val="Times New Roman"/>
        <family val="1"/>
      </rPr>
      <t>d</t>
    </r>
  </si>
  <si>
    <r>
      <t xml:space="preserve">          Notification of initial performance test </t>
    </r>
    <r>
      <rPr>
        <vertAlign val="superscript"/>
        <sz val="10"/>
        <color rgb="FF000000"/>
        <rFont val="Times New Roman"/>
        <family val="1"/>
      </rPr>
      <t>d</t>
    </r>
  </si>
  <si>
    <r>
      <t xml:space="preserve">          Report of initial performance test results </t>
    </r>
    <r>
      <rPr>
        <vertAlign val="superscript"/>
        <sz val="10"/>
        <color rgb="FF000000"/>
        <rFont val="Times New Roman"/>
        <family val="1"/>
      </rPr>
      <t>d</t>
    </r>
  </si>
  <si>
    <r>
      <t xml:space="preserve">          Compliance status reports </t>
    </r>
    <r>
      <rPr>
        <vertAlign val="superscript"/>
        <sz val="10"/>
        <color rgb="FF000000"/>
        <rFont val="Times New Roman"/>
        <family val="1"/>
      </rPr>
      <t>f</t>
    </r>
  </si>
  <si>
    <r>
      <rPr>
        <vertAlign val="superscript"/>
        <sz val="10"/>
        <color theme="1"/>
        <rFont val="Times New Roman"/>
        <family val="1"/>
      </rPr>
      <t>f</t>
    </r>
    <r>
      <rPr>
        <sz val="10"/>
        <color theme="1"/>
        <rFont val="Times New Roman"/>
        <family val="1"/>
      </rPr>
      <t xml:space="preserve">  This rule does not require semiannual reporting, just recordkeeping.</t>
    </r>
  </si>
  <si>
    <r>
      <t xml:space="preserve">          Records of daily charging rates and hours of operation </t>
    </r>
    <r>
      <rPr>
        <vertAlign val="superscript"/>
        <sz val="10"/>
        <color rgb="FF000000"/>
        <rFont val="Times New Roman"/>
        <family val="1"/>
      </rPr>
      <t>g</t>
    </r>
  </si>
  <si>
    <r>
      <rPr>
        <vertAlign val="superscript"/>
        <sz val="10"/>
        <color theme="1"/>
        <rFont val="Times New Roman"/>
        <family val="1"/>
      </rPr>
      <t>g</t>
    </r>
    <r>
      <rPr>
        <sz val="10"/>
        <color theme="1"/>
        <rFont val="Times New Roman"/>
        <family val="1"/>
      </rPr>
      <t xml:space="preserve">  We assume it will take 0.25 hours per day over 350 days per year to record daily charging rates.</t>
    </r>
  </si>
  <si>
    <r>
      <rPr>
        <vertAlign val="superscript"/>
        <sz val="10"/>
        <color theme="1"/>
        <rFont val="Times New Roman"/>
        <family val="1"/>
      </rPr>
      <t>e</t>
    </r>
    <r>
      <rPr>
        <sz val="10"/>
        <color theme="1"/>
        <rFont val="Times New Roman"/>
        <family val="1"/>
      </rPr>
      <t xml:space="preserve">  We assume it takes 60 technical hours for pretests/test preparation, 60 technical hours for testing, and 80 technical hours for analysis and report preparation.</t>
    </r>
  </si>
  <si>
    <r>
      <rPr>
        <vertAlign val="superscript"/>
        <sz val="10"/>
        <color theme="1"/>
        <rFont val="Times New Roman"/>
        <family val="1"/>
      </rPr>
      <t>h</t>
    </r>
    <r>
      <rPr>
        <sz val="10"/>
        <color theme="1"/>
        <rFont val="Times New Roman"/>
        <family val="1"/>
      </rPr>
      <t xml:space="preserve">  Totals have been rounded to 3 significant figures. Figures may not add exactly due to rounding.</t>
    </r>
  </si>
  <si>
    <t>Capital/Startup vs. Operation and Maintenance (O&amp;M) Costs</t>
  </si>
  <si>
    <t>(A)</t>
  </si>
  <si>
    <t>Continuous Monitoring Device</t>
  </si>
  <si>
    <t>(B)</t>
  </si>
  <si>
    <t>(C)</t>
  </si>
  <si>
    <t xml:space="preserve">Number of New Respondents </t>
  </si>
  <si>
    <t>(D)</t>
  </si>
  <si>
    <t>Total Capital/Startup Cost, (B X C)</t>
  </si>
  <si>
    <t>(E)</t>
  </si>
  <si>
    <t>(F)</t>
  </si>
  <si>
    <t>Number of Respondents with O&amp;M</t>
  </si>
  <si>
    <t>(G)</t>
  </si>
  <si>
    <t>Particulate matter</t>
  </si>
  <si>
    <t>Number of Respondents</t>
  </si>
  <si>
    <t>Respondents That Submit Reports</t>
  </si>
  <si>
    <t>Respondents That Do Not Submit Any Reports</t>
  </si>
  <si>
    <t>Year</t>
  </si>
  <si>
    <r>
      <t xml:space="preserve">Number of New Respondents </t>
    </r>
    <r>
      <rPr>
        <vertAlign val="superscript"/>
        <sz val="10"/>
        <color rgb="FF000000"/>
        <rFont val="Times New Roman"/>
        <family val="1"/>
      </rPr>
      <t>1</t>
    </r>
  </si>
  <si>
    <t>Number of Existing Respondents</t>
  </si>
  <si>
    <t>Number of Existing Respondents that keep records but do not submit reports</t>
  </si>
  <si>
    <t>Number of Existing Respondents That Are Also New Respondents</t>
  </si>
  <si>
    <r>
      <t>1</t>
    </r>
    <r>
      <rPr>
        <sz val="12"/>
        <color rgb="FF000000"/>
        <rFont val="Times New Roman"/>
        <family val="1"/>
      </rPr>
      <t xml:space="preserve"> </t>
    </r>
    <r>
      <rPr>
        <sz val="10"/>
        <color rgb="FF000000"/>
        <rFont val="Times New Roman"/>
        <family val="1"/>
      </rPr>
      <t>New respondents include sources with constructed, reconstructed and modified affected facilities.</t>
    </r>
    <r>
      <rPr>
        <sz val="10"/>
        <color rgb="FFFF0000"/>
        <rFont val="Times New Roman"/>
        <family val="1"/>
      </rPr>
      <t xml:space="preserve"> </t>
    </r>
  </si>
  <si>
    <t>Number of Respondents (E=A+B+C-D)</t>
  </si>
  <si>
    <t>Total Annual Responses</t>
  </si>
  <si>
    <t>Information Collection Activity</t>
  </si>
  <si>
    <t>Number of Responses</t>
  </si>
  <si>
    <t>Number of Existing Respondents That Keep Records But Do Not Submit Reports</t>
  </si>
  <si>
    <t>Privately-Owned</t>
  </si>
  <si>
    <t>Notification reports</t>
  </si>
  <si>
    <t>Compliance reports</t>
  </si>
  <si>
    <t>Records of startup, shutdown, and malfunction (SSM), emissions monitoring system, and initial performance test results</t>
  </si>
  <si>
    <t>Records of daily charging rates and hours of operation</t>
  </si>
  <si>
    <t>Total</t>
  </si>
  <si>
    <t>Grand Total</t>
  </si>
  <si>
    <t>Total Annual Responses E=(BxC)+D</t>
  </si>
  <si>
    <t>hr/response</t>
  </si>
  <si>
    <t>total labor hours</t>
  </si>
  <si>
    <t>total labor cost</t>
  </si>
  <si>
    <r>
      <rPr>
        <vertAlign val="superscript"/>
        <sz val="10"/>
        <color theme="1"/>
        <rFont val="Times New Roman"/>
        <family val="1"/>
      </rPr>
      <t>g</t>
    </r>
    <r>
      <rPr>
        <sz val="10"/>
        <color theme="1"/>
        <rFont val="Times New Roman"/>
        <family val="1"/>
      </rPr>
      <t xml:space="preserve">  Assumes EPA will audit records for approximately 10% of facilities.</t>
    </r>
  </si>
  <si>
    <t>Summary</t>
  </si>
  <si>
    <t>Publicly-Owned</t>
  </si>
  <si>
    <t>labor + O&amp;M cost</t>
  </si>
  <si>
    <t>ICR Summary Information</t>
  </si>
  <si>
    <t>Hours per Response</t>
  </si>
  <si>
    <t>Total Estimated Burden Hours</t>
  </si>
  <si>
    <t>Total Estimated Costs</t>
  </si>
  <si>
    <t>Annualized Capital O&amp;M</t>
  </si>
  <si>
    <t>Form Number</t>
  </si>
  <si>
    <t>Not Applicable</t>
  </si>
  <si>
    <r>
      <t>b</t>
    </r>
    <r>
      <rPr>
        <sz val="10"/>
        <color theme="1"/>
        <rFont val="Times New Roman"/>
        <family val="1"/>
      </rPr>
      <t xml:space="preserve">  This ICR uses the following labor rates: Managerial $157.61 ($75.05 + 110%); Technical $123.94 ($59.02 + 110%); and Clerical $62.52 ($29.77 + 110%). These rates are from the United States Department of Labor, Bureau of Labor Statistics, September 2021, “Table 2. Civilian Workers, by occupational and industry group.” The rates are from column 1, “Total compensation.”  The rates have been increased by 110 percent to account for varying industry wage rates and the additional overhead business costs of employing workers beyond their wages and benefits, including business expenses associated with hiring, training, and equipping their employees.</t>
    </r>
  </si>
  <si>
    <r>
      <t>b</t>
    </r>
    <r>
      <rPr>
        <sz val="10"/>
        <color theme="1"/>
        <rFont val="Times New Roman"/>
        <family val="1"/>
      </rPr>
      <t xml:space="preserve">  This cost is based on the average hourly labor rate as follows: Managerial $70.56 (GS-13, Step 5, $44.10 + 60%); Technical $52.37 (GS-12, Step 1, $32.73 + 60%); and Clerical $28.34 (GS-6, Step 3, $17.17 + 60%). This ICR assumes that Managerial hours are 5 percent of Technical hours, and Clerical hours are 10 percent of Technical hours. These rates are from the Office of Personnel Management (OPM), 2022 General Schedule, which excludes locality, rates of pay. The rates have been increased by 60 percent to account for the benefit packages available to government employees.</t>
    </r>
  </si>
  <si>
    <t>Average</t>
  </si>
  <si>
    <r>
      <rPr>
        <vertAlign val="superscript"/>
        <sz val="10"/>
        <color theme="1"/>
        <rFont val="Times New Roman"/>
        <family val="1"/>
      </rPr>
      <t>a</t>
    </r>
    <r>
      <rPr>
        <sz val="10"/>
        <color theme="1"/>
        <rFont val="Times New Roman"/>
        <family val="1"/>
      </rPr>
      <t xml:space="preserve">  We estimate that an average of 36 existing respondents per year will be subject to the rule, and that no new, modified, or reconstructed facilities will become subject over the three-year period of this ICR. We estimate 20 (55.5 percent) respondents are privately owned and 16 (44.4 percent) are publicly owned.</t>
    </r>
  </si>
  <si>
    <r>
      <rPr>
        <vertAlign val="superscript"/>
        <sz val="10"/>
        <rFont val="Times New Roman"/>
        <family val="1"/>
      </rPr>
      <t>a</t>
    </r>
    <r>
      <rPr>
        <sz val="10"/>
        <rFont val="Times New Roman"/>
        <family val="1"/>
      </rPr>
      <t xml:space="preserve">  We estimate that an average of 36 existing respondents per year will be subject to the rule, and that no new, modified, or reconstructed facilities will become subject over the three-year period of this ICR. We estimate 21 (58.6 percent) respondents are privately owned and 16 (43.2 percent) are publicly owned.</t>
    </r>
  </si>
  <si>
    <r>
      <rPr>
        <vertAlign val="superscript"/>
        <sz val="10"/>
        <color rgb="FF000000"/>
        <rFont val="Times New Roman"/>
        <family val="1"/>
      </rPr>
      <t>a</t>
    </r>
    <r>
      <rPr>
        <sz val="10"/>
        <color rgb="FF000000"/>
        <rFont val="Times New Roman"/>
        <family val="1"/>
      </rPr>
      <t xml:space="preserve"> Assume that annual captial/startup costs for the PM CMS are $6,738 (Docket Document Number EPA-HQ-OECA-2006-0709, page 10). Costs have been increased from 2007 to 2021 $ using the CEPCI Equipment Cost Index.</t>
    </r>
    <r>
      <rPr>
        <sz val="10"/>
        <color theme="1"/>
        <rFont val="Times New Roman"/>
        <family val="1"/>
      </rPr>
      <t xml:space="preserve"> </t>
    </r>
  </si>
  <si>
    <r>
      <rPr>
        <vertAlign val="superscript"/>
        <sz val="10"/>
        <color rgb="FF000000"/>
        <rFont val="Times New Roman"/>
        <family val="1"/>
      </rPr>
      <t>b</t>
    </r>
    <r>
      <rPr>
        <sz val="10"/>
        <color rgb="FF000000"/>
        <rFont val="Times New Roman"/>
        <family val="1"/>
      </rPr>
      <t xml:space="preserve"> Assume that annual O&amp;M costs for the PM CMS are $3,532 (Docket Document Number EPA-HQ-OECA-2006-0709, page 10). Costs have been increased from 2018 to 2021 $ using the CEPCI Equipment Cost Index.</t>
    </r>
    <r>
      <rPr>
        <sz val="10"/>
        <color theme="1"/>
        <rFont val="Times New Roman"/>
        <family val="1"/>
      </rPr>
      <t xml:space="preserve"> </t>
    </r>
  </si>
  <si>
    <r>
      <rPr>
        <vertAlign val="superscript"/>
        <sz val="10"/>
        <color theme="1"/>
        <rFont val="Times New Roman"/>
        <family val="1"/>
      </rPr>
      <t>c</t>
    </r>
    <r>
      <rPr>
        <sz val="10"/>
        <color theme="1"/>
        <rFont val="Times New Roman"/>
        <family val="1"/>
      </rPr>
      <t xml:space="preserve"> Totals have been rounded to 3 significant figures. Figures may not add exactly due to rounding.</t>
    </r>
  </si>
  <si>
    <r>
      <t xml:space="preserve">Capital/Startup Cost for One Respondent </t>
    </r>
    <r>
      <rPr>
        <vertAlign val="superscript"/>
        <sz val="10"/>
        <color rgb="FF000000"/>
        <rFont val="Times New Roman"/>
        <family val="1"/>
      </rPr>
      <t>a</t>
    </r>
  </si>
  <si>
    <r>
      <t xml:space="preserve">Annual O&amp;M Costs for One Respondent </t>
    </r>
    <r>
      <rPr>
        <vertAlign val="superscript"/>
        <sz val="10"/>
        <color rgb="FF000000"/>
        <rFont val="Times New Roman"/>
        <family val="1"/>
      </rPr>
      <t>b</t>
    </r>
  </si>
  <si>
    <r>
      <t xml:space="preserve">Total O&amp;M, 
(E X F) </t>
    </r>
    <r>
      <rPr>
        <vertAlign val="superscript"/>
        <sz val="10"/>
        <color rgb="FF000000"/>
        <rFont val="Times New Roman"/>
        <family val="1"/>
      </rPr>
      <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</si>
</sst>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0.0"/>
    <numFmt numFmtId="165" formatCode="&quot;$&quot;#,##0.00"/>
    <numFmt numFmtId="166" formatCode="_(&quot;$&quot;* #,##0_);_(&quot;$&quot;* \(#,##0\);_(&quot;$&quot;* &quot;-&quot;??_);_(@_)"/>
  </numFmts>
  <fonts count="23" x14ac:knownFonts="1">
    <font>
      <sz val="11"/>
      <color theme="1"/>
      <name val="Calibri"/>
      <family val="2"/>
      <scheme val="minor"/>
    </font>
    <font>
      <b/>
      <sz val="11"/>
      <color theme="1"/>
      <name val="Calibri"/>
      <family val="2"/>
      <scheme val="minor"/>
    </font>
    <font>
      <sz val="10"/>
      <color theme="1"/>
      <name val="Times New Roman"/>
      <family val="1"/>
    </font>
    <font>
      <b/>
      <sz val="10"/>
      <color theme="1"/>
      <name val="Times New Roman"/>
      <family val="1"/>
    </font>
    <font>
      <b/>
      <vertAlign val="superscript"/>
      <sz val="10"/>
      <color theme="1"/>
      <name val="Times New Roman"/>
      <family val="1"/>
    </font>
    <font>
      <sz val="10"/>
      <color rgb="FF000000"/>
      <name val="Times New Roman"/>
      <family val="1"/>
    </font>
    <font>
      <vertAlign val="superscript"/>
      <sz val="10"/>
      <color rgb="FF000000"/>
      <name val="Times New Roman"/>
      <family val="1"/>
    </font>
    <font>
      <b/>
      <sz val="10"/>
      <color rgb="FF000000"/>
      <name val="Times New Roman"/>
      <family val="1"/>
    </font>
    <font>
      <b/>
      <sz val="12"/>
      <color theme="1"/>
      <name val="Times New Roman"/>
      <family val="1"/>
    </font>
    <font>
      <vertAlign val="superscript"/>
      <sz val="10"/>
      <color theme="1"/>
      <name val="Times New Roman"/>
      <family val="1"/>
    </font>
    <font>
      <b/>
      <vertAlign val="superscript"/>
      <sz val="10"/>
      <color rgb="FF000000"/>
      <name val="Times New Roman"/>
      <family val="1"/>
    </font>
    <font>
      <b/>
      <i/>
      <sz val="10"/>
      <color rgb="FF000000"/>
      <name val="Times New Roman"/>
      <family val="1"/>
    </font>
    <font>
      <sz val="10"/>
      <name val="Times New Roman"/>
      <family val="1"/>
    </font>
    <font>
      <sz val="12"/>
      <color rgb="FF000000"/>
      <name val="Times New Roman"/>
      <family val="1"/>
    </font>
    <font>
      <b/>
      <sz val="12"/>
      <color rgb="FF000000"/>
      <name val="Times New Roman"/>
      <family val="1"/>
    </font>
    <font>
      <sz val="9"/>
      <color rgb="FF000000"/>
      <name val="Times New Roman"/>
      <family val="1"/>
    </font>
    <font>
      <vertAlign val="superscript"/>
      <sz val="12"/>
      <color rgb="FF000000"/>
      <name val="Times New Roman"/>
      <family val="1"/>
    </font>
    <font>
      <sz val="10"/>
      <color rgb="FFFF0000"/>
      <name val="Times New Roman"/>
      <family val="1"/>
    </font>
    <font>
      <b/>
      <sz val="9"/>
      <color rgb="FF000000"/>
      <name val="Times New Roman"/>
      <family val="1"/>
    </font>
    <font>
      <b/>
      <sz val="9"/>
      <color theme="1"/>
      <name val="Times New Roman"/>
      <family val="1"/>
    </font>
    <font>
      <sz val="9"/>
      <color theme="1"/>
      <name val="Times New Roman"/>
      <family val="1"/>
    </font>
    <font>
      <sz val="11"/>
      <color theme="1"/>
      <name val="Calibri"/>
      <family val="2"/>
      <scheme val="minor"/>
    </font>
    <font>
      <vertAlign val="superscript"/>
      <sz val="10"/>
      <name val="Times New Roman"/>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21" fillId="0" borderId="0" applyFont="0" applyFill="0" applyBorder="0" applyAlignment="0" applyProtection="0"/>
  </cellStyleXfs>
  <cellXfs count="66">
    <xf numFmtId="0" fontId="0" fillId="0" borderId="0" xfId="0"/>
    <xf numFmtId="0" fontId="1" fillId="0" borderId="0" xfId="0" applyFont="1"/>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vertical="center" wrapText="1"/>
    </xf>
    <xf numFmtId="3" fontId="5" fillId="0" borderId="1" xfId="0" applyNumberFormat="1" applyFont="1" applyBorder="1" applyAlignment="1">
      <alignment horizontal="center" vertical="center" wrapText="1"/>
    </xf>
    <xf numFmtId="6"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6" fontId="7"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3" fontId="7" fillId="0" borderId="1" xfId="0" applyNumberFormat="1" applyFont="1" applyBorder="1" applyAlignment="1">
      <alignment horizontal="center" vertical="center" wrapText="1"/>
    </xf>
    <xf numFmtId="8" fontId="5" fillId="0" borderId="1" xfId="0" applyNumberFormat="1" applyFont="1" applyBorder="1" applyAlignment="1">
      <alignment horizontal="center" vertical="center" wrapText="1"/>
    </xf>
    <xf numFmtId="0" fontId="3" fillId="0" borderId="0" xfId="0" applyFont="1"/>
    <xf numFmtId="164" fontId="5" fillId="0" borderId="1" xfId="0" applyNumberFormat="1" applyFont="1" applyBorder="1" applyAlignment="1">
      <alignment horizontal="center" vertical="center" wrapText="1"/>
    </xf>
    <xf numFmtId="0" fontId="8" fillId="0" borderId="0" xfId="0" applyFont="1"/>
    <xf numFmtId="0" fontId="5" fillId="0" borderId="1" xfId="0" applyFont="1" applyBorder="1" applyAlignment="1">
      <alignment vertical="center" wrapText="1"/>
    </xf>
    <xf numFmtId="6" fontId="5" fillId="0" borderId="1" xfId="0" applyNumberFormat="1" applyFont="1" applyBorder="1" applyAlignment="1">
      <alignment horizontal="right" vertical="center" wrapText="1" indent="1"/>
    </xf>
    <xf numFmtId="6" fontId="7" fillId="0" borderId="1" xfId="0" applyNumberFormat="1" applyFont="1" applyBorder="1" applyAlignment="1">
      <alignment horizontal="right" vertical="center" wrapText="1" indent="1"/>
    </xf>
    <xf numFmtId="0" fontId="3" fillId="0" borderId="1" xfId="0" applyFont="1" applyBorder="1" applyAlignment="1">
      <alignment vertical="center" wrapText="1"/>
    </xf>
    <xf numFmtId="0" fontId="7" fillId="0" borderId="1" xfId="0" applyFont="1" applyBorder="1" applyAlignment="1">
      <alignment vertical="center"/>
    </xf>
    <xf numFmtId="0" fontId="11" fillId="0" borderId="1" xfId="0" applyFont="1" applyBorder="1" applyAlignment="1">
      <alignment horizontal="left" vertical="center" wrapText="1"/>
    </xf>
    <xf numFmtId="0" fontId="12" fillId="0" borderId="1" xfId="0" applyFont="1" applyBorder="1" applyAlignment="1">
      <alignment vertical="center"/>
    </xf>
    <xf numFmtId="0" fontId="3" fillId="0" borderId="1" xfId="0" applyFont="1" applyBorder="1" applyAlignment="1">
      <alignment wrapText="1"/>
    </xf>
    <xf numFmtId="6" fontId="0" fillId="0" borderId="0" xfId="0" applyNumberFormat="1"/>
    <xf numFmtId="3" fontId="0" fillId="0" borderId="0" xfId="0" applyNumberFormat="1"/>
    <xf numFmtId="0" fontId="16" fillId="0" borderId="0" xfId="0" applyFont="1" applyAlignment="1">
      <alignment vertical="center"/>
    </xf>
    <xf numFmtId="0" fontId="14" fillId="0" borderId="1"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0" fillId="0" borderId="2" xfId="0" applyBorder="1"/>
    <xf numFmtId="0" fontId="0" fillId="0" borderId="3" xfId="0" applyBorder="1"/>
    <xf numFmtId="0" fontId="0" fillId="0" borderId="4" xfId="0" applyBorder="1"/>
    <xf numFmtId="3" fontId="0" fillId="0" borderId="5" xfId="0" applyNumberFormat="1" applyBorder="1"/>
    <xf numFmtId="0" fontId="0" fillId="0" borderId="6" xfId="0" applyBorder="1"/>
    <xf numFmtId="6" fontId="0" fillId="0" borderId="5" xfId="0" applyNumberFormat="1" applyBorder="1"/>
    <xf numFmtId="0" fontId="0" fillId="0" borderId="7" xfId="0" applyBorder="1"/>
    <xf numFmtId="0" fontId="0" fillId="0" borderId="8" xfId="0" applyBorder="1"/>
    <xf numFmtId="0" fontId="0" fillId="0" borderId="9" xfId="0" applyBorder="1"/>
    <xf numFmtId="0" fontId="18" fillId="0" borderId="1" xfId="0" applyFont="1" applyBorder="1" applyAlignment="1">
      <alignment horizontal="center" vertical="center" wrapText="1"/>
    </xf>
    <xf numFmtId="1" fontId="0" fillId="0" borderId="0" xfId="0" applyNumberFormat="1"/>
    <xf numFmtId="0" fontId="0" fillId="0" borderId="0" xfId="0" applyAlignment="1">
      <alignment horizontal="right"/>
    </xf>
    <xf numFmtId="166" fontId="5" fillId="0" borderId="1" xfId="1" applyNumberFormat="1" applyFont="1" applyBorder="1" applyAlignment="1">
      <alignment horizontal="center" vertical="center" wrapText="1"/>
    </xf>
    <xf numFmtId="165" fontId="12" fillId="0" borderId="1" xfId="0" applyNumberFormat="1" applyFont="1" applyBorder="1"/>
    <xf numFmtId="3" fontId="2" fillId="0" borderId="0" xfId="0" applyNumberFormat="1" applyFont="1"/>
    <xf numFmtId="0" fontId="13" fillId="0" borderId="0" xfId="0" applyFont="1" applyAlignment="1">
      <alignment vertical="center"/>
    </xf>
    <xf numFmtId="0" fontId="2" fillId="0" borderId="0" xfId="0" applyFont="1" applyAlignment="1">
      <alignment vertical="center"/>
    </xf>
    <xf numFmtId="0" fontId="0" fillId="0" borderId="0" xfId="0" applyAlignment="1">
      <alignment horizontal="center"/>
    </xf>
    <xf numFmtId="0" fontId="2" fillId="0" borderId="0" xfId="0" applyFont="1" applyAlignment="1">
      <alignment horizontal="left" vertical="top" wrapText="1"/>
    </xf>
    <xf numFmtId="0" fontId="12" fillId="0" borderId="1" xfId="0" applyFont="1" applyBorder="1" applyAlignment="1">
      <alignment horizontal="center"/>
    </xf>
    <xf numFmtId="1"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0" fontId="9" fillId="0" borderId="0" xfId="0" applyFont="1" applyAlignment="1">
      <alignment vertical="center" wrapText="1"/>
    </xf>
    <xf numFmtId="0" fontId="12" fillId="0" borderId="0" xfId="0" applyFont="1" applyAlignment="1">
      <alignment horizontal="left" vertical="top" wrapText="1"/>
    </xf>
    <xf numFmtId="0" fontId="13" fillId="0" borderId="0" xfId="0" applyFont="1" applyAlignment="1">
      <alignment vertical="center" wrapText="1"/>
    </xf>
    <xf numFmtId="0" fontId="14" fillId="0" borderId="0" xfId="0" applyFont="1" applyAlignment="1">
      <alignment horizontal="center" vertical="center" wrapText="1"/>
    </xf>
    <xf numFmtId="0" fontId="5" fillId="0" borderId="0" xfId="0" applyFont="1" applyAlignment="1">
      <alignment horizontal="left" vertical="top" wrapText="1"/>
    </xf>
    <xf numFmtId="0" fontId="14"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8" fillId="0" borderId="1" xfId="0" applyFont="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7546-A8ED-486B-B636-BB948A8CFCF3}">
  <dimension ref="A1:B8"/>
  <sheetViews>
    <sheetView tabSelected="1" workbookViewId="0">
      <selection activeCell="B5" sqref="B5"/>
    </sheetView>
  </sheetViews>
  <sheetFormatPr defaultRowHeight="14.5" x14ac:dyDescent="0.35"/>
  <cols>
    <col min="1" max="1" width="25.7265625" bestFit="1" customWidth="1"/>
    <col min="2" max="2" width="12.81640625" bestFit="1" customWidth="1"/>
  </cols>
  <sheetData>
    <row r="1" spans="1:2" x14ac:dyDescent="0.35">
      <c r="A1" s="49" t="s">
        <v>113</v>
      </c>
      <c r="B1" s="49"/>
    </row>
    <row r="2" spans="1:2" x14ac:dyDescent="0.35">
      <c r="A2" t="s">
        <v>114</v>
      </c>
      <c r="B2" s="24">
        <f>'Table 1a'!L33</f>
        <v>52</v>
      </c>
    </row>
    <row r="3" spans="1:2" x14ac:dyDescent="0.35">
      <c r="A3" t="s">
        <v>84</v>
      </c>
      <c r="B3">
        <f>Respondents!G16</f>
        <v>36</v>
      </c>
    </row>
    <row r="4" spans="1:2" x14ac:dyDescent="0.35">
      <c r="A4" t="s">
        <v>115</v>
      </c>
      <c r="B4" s="24">
        <f>'Table 1a'!L31</f>
        <v>3730</v>
      </c>
    </row>
    <row r="5" spans="1:2" x14ac:dyDescent="0.35">
      <c r="A5" t="s">
        <v>116</v>
      </c>
      <c r="B5" s="23">
        <f>'Table 1a'!I34+'Table 1b'!I34</f>
        <v>462000</v>
      </c>
    </row>
    <row r="6" spans="1:2" x14ac:dyDescent="0.35">
      <c r="A6" t="s">
        <v>117</v>
      </c>
      <c r="B6" s="23">
        <f>'Capital O&amp;M'!J6</f>
        <v>127000</v>
      </c>
    </row>
    <row r="7" spans="1:2" x14ac:dyDescent="0.35">
      <c r="A7" t="s">
        <v>94</v>
      </c>
      <c r="B7" s="42">
        <f>Responses!F19</f>
        <v>72</v>
      </c>
    </row>
    <row r="8" spans="1:2" x14ac:dyDescent="0.35">
      <c r="A8" t="s">
        <v>118</v>
      </c>
      <c r="B8" s="43" t="s">
        <v>119</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4"/>
  <sheetViews>
    <sheetView topLeftCell="A24" workbookViewId="0">
      <selection activeCell="L34" sqref="L34"/>
    </sheetView>
  </sheetViews>
  <sheetFormatPr defaultRowHeight="14.5" x14ac:dyDescent="0.35"/>
  <cols>
    <col min="1" max="1" width="50.7265625" customWidth="1"/>
    <col min="2" max="2" width="10.54296875" customWidth="1"/>
    <col min="3" max="3" width="10.7265625" customWidth="1"/>
    <col min="5" max="5" width="11.453125" customWidth="1"/>
    <col min="9" max="9" width="11.26953125" customWidth="1"/>
    <col min="11" max="11" width="11" bestFit="1" customWidth="1"/>
    <col min="12" max="12" width="11.26953125" customWidth="1"/>
  </cols>
  <sheetData>
    <row r="1" spans="1:12" ht="15.5" x14ac:dyDescent="0.35">
      <c r="A1" s="14" t="s">
        <v>48</v>
      </c>
    </row>
    <row r="2" spans="1:12" x14ac:dyDescent="0.35">
      <c r="A2" s="1"/>
    </row>
    <row r="4" spans="1:12" ht="91" x14ac:dyDescent="0.35">
      <c r="A4" s="2" t="s">
        <v>0</v>
      </c>
      <c r="B4" s="2" t="s">
        <v>21</v>
      </c>
      <c r="C4" s="2" t="s">
        <v>22</v>
      </c>
      <c r="D4" s="2" t="s">
        <v>25</v>
      </c>
      <c r="E4" s="2" t="s">
        <v>23</v>
      </c>
      <c r="F4" s="2" t="s">
        <v>24</v>
      </c>
      <c r="G4" s="2" t="s">
        <v>26</v>
      </c>
      <c r="H4" s="2" t="s">
        <v>27</v>
      </c>
      <c r="I4" s="2" t="s">
        <v>28</v>
      </c>
    </row>
    <row r="5" spans="1:12" x14ac:dyDescent="0.35">
      <c r="A5" s="9" t="s">
        <v>1</v>
      </c>
      <c r="B5" s="3" t="s">
        <v>2</v>
      </c>
      <c r="C5" s="3"/>
      <c r="D5" s="3"/>
      <c r="E5" s="3"/>
      <c r="F5" s="3"/>
      <c r="G5" s="3"/>
      <c r="H5" s="3"/>
      <c r="I5" s="3"/>
      <c r="K5" s="51" t="s">
        <v>44</v>
      </c>
      <c r="L5" s="51"/>
    </row>
    <row r="6" spans="1:12" x14ac:dyDescent="0.35">
      <c r="A6" s="9" t="s">
        <v>3</v>
      </c>
      <c r="B6" s="3" t="s">
        <v>2</v>
      </c>
      <c r="C6" s="3"/>
      <c r="D6" s="3"/>
      <c r="E6" s="3"/>
      <c r="F6" s="3"/>
      <c r="G6" s="3"/>
      <c r="H6" s="3"/>
      <c r="I6" s="3"/>
      <c r="K6" s="21" t="s">
        <v>45</v>
      </c>
      <c r="L6" s="45">
        <v>157.60499999999999</v>
      </c>
    </row>
    <row r="7" spans="1:12" x14ac:dyDescent="0.35">
      <c r="A7" s="9" t="s">
        <v>4</v>
      </c>
      <c r="B7" s="3"/>
      <c r="C7" s="3"/>
      <c r="D7" s="3"/>
      <c r="E7" s="3"/>
      <c r="F7" s="3"/>
      <c r="G7" s="3"/>
      <c r="H7" s="3"/>
      <c r="I7" s="3"/>
      <c r="K7" s="21" t="s">
        <v>46</v>
      </c>
      <c r="L7" s="45">
        <v>123.94200000000001</v>
      </c>
    </row>
    <row r="8" spans="1:12" ht="15.5" x14ac:dyDescent="0.35">
      <c r="A8" s="9" t="s">
        <v>56</v>
      </c>
      <c r="B8" s="3">
        <v>1</v>
      </c>
      <c r="C8" s="3">
        <v>1</v>
      </c>
      <c r="D8" s="3">
        <f>B8*C8</f>
        <v>1</v>
      </c>
      <c r="E8" s="3">
        <v>20</v>
      </c>
      <c r="F8" s="3">
        <f>+D8*E8</f>
        <v>20</v>
      </c>
      <c r="G8" s="3">
        <f>F8*0.05</f>
        <v>1</v>
      </c>
      <c r="H8" s="3">
        <f>+F8*0.1</f>
        <v>2</v>
      </c>
      <c r="I8" s="11">
        <f>+$L$7*F8+$L$6*G8+$L$8*H8</f>
        <v>2761.4790000000003</v>
      </c>
      <c r="K8" s="21" t="s">
        <v>47</v>
      </c>
      <c r="L8" s="45">
        <v>62.517000000000003</v>
      </c>
    </row>
    <row r="9" spans="1:12" x14ac:dyDescent="0.35">
      <c r="A9" s="9" t="s">
        <v>5</v>
      </c>
      <c r="B9" s="7"/>
      <c r="C9" s="7"/>
      <c r="D9" s="3"/>
      <c r="E9" s="7"/>
      <c r="F9" s="3"/>
      <c r="G9" s="3"/>
      <c r="H9" s="3"/>
      <c r="I9" s="6"/>
    </row>
    <row r="10" spans="1:12" ht="15.5" x14ac:dyDescent="0.35">
      <c r="A10" s="9" t="s">
        <v>57</v>
      </c>
      <c r="B10" s="3">
        <v>200</v>
      </c>
      <c r="C10" s="3">
        <v>1</v>
      </c>
      <c r="D10" s="3">
        <f>B10*C10</f>
        <v>200</v>
      </c>
      <c r="E10" s="3">
        <v>0</v>
      </c>
      <c r="F10" s="3">
        <f t="shared" ref="F10:F19" si="0">+D10*E10</f>
        <v>0</v>
      </c>
      <c r="G10" s="3">
        <f t="shared" ref="G10:G19" si="1">F10*0.05</f>
        <v>0</v>
      </c>
      <c r="H10" s="3">
        <f t="shared" ref="H10:H19" si="2">+F10*0.1</f>
        <v>0</v>
      </c>
      <c r="I10" s="6">
        <f>+$L$7*F10+$L$6*G10+$L$8*H10</f>
        <v>0</v>
      </c>
    </row>
    <row r="11" spans="1:12" x14ac:dyDescent="0.35">
      <c r="A11" s="9" t="s">
        <v>6</v>
      </c>
      <c r="B11" s="3" t="s">
        <v>7</v>
      </c>
      <c r="C11" s="7"/>
      <c r="D11" s="3"/>
      <c r="E11" s="7"/>
      <c r="F11" s="3"/>
      <c r="G11" s="3"/>
      <c r="H11" s="3"/>
      <c r="I11" s="6"/>
    </row>
    <row r="12" spans="1:12" x14ac:dyDescent="0.35">
      <c r="A12" s="9" t="s">
        <v>8</v>
      </c>
      <c r="B12" s="3" t="s">
        <v>9</v>
      </c>
      <c r="C12" s="7"/>
      <c r="D12" s="3"/>
      <c r="E12" s="7"/>
      <c r="F12" s="3"/>
      <c r="G12" s="3"/>
      <c r="H12" s="3"/>
      <c r="I12" s="6"/>
    </row>
    <row r="13" spans="1:12" x14ac:dyDescent="0.35">
      <c r="A13" s="9" t="s">
        <v>10</v>
      </c>
      <c r="B13" s="7"/>
      <c r="C13" s="7"/>
      <c r="D13" s="3"/>
      <c r="E13" s="7"/>
      <c r="F13" s="3"/>
      <c r="G13" s="3"/>
      <c r="H13" s="3"/>
      <c r="I13" s="6"/>
    </row>
    <row r="14" spans="1:12" ht="15.5" x14ac:dyDescent="0.35">
      <c r="A14" s="9" t="s">
        <v>61</v>
      </c>
      <c r="B14" s="3">
        <v>2</v>
      </c>
      <c r="C14" s="3">
        <v>1</v>
      </c>
      <c r="D14" s="3">
        <f t="shared" ref="D14:D28" si="3">B14*C14</f>
        <v>2</v>
      </c>
      <c r="E14" s="3">
        <v>0</v>
      </c>
      <c r="F14" s="3">
        <f t="shared" si="0"/>
        <v>0</v>
      </c>
      <c r="G14" s="3">
        <f t="shared" si="1"/>
        <v>0</v>
      </c>
      <c r="H14" s="3">
        <f t="shared" si="2"/>
        <v>0</v>
      </c>
      <c r="I14" s="6">
        <f t="shared" ref="I14:I19" si="4">+$L$7*F14+$L$6*G14+$L$8*H14</f>
        <v>0</v>
      </c>
    </row>
    <row r="15" spans="1:12" ht="15.5" x14ac:dyDescent="0.35">
      <c r="A15" s="9" t="s">
        <v>62</v>
      </c>
      <c r="B15" s="3">
        <v>2</v>
      </c>
      <c r="C15" s="3">
        <v>1</v>
      </c>
      <c r="D15" s="3">
        <f t="shared" si="3"/>
        <v>2</v>
      </c>
      <c r="E15" s="3">
        <v>0</v>
      </c>
      <c r="F15" s="3">
        <f t="shared" si="0"/>
        <v>0</v>
      </c>
      <c r="G15" s="3">
        <f t="shared" si="1"/>
        <v>0</v>
      </c>
      <c r="H15" s="3">
        <f t="shared" si="2"/>
        <v>0</v>
      </c>
      <c r="I15" s="6">
        <f t="shared" si="4"/>
        <v>0</v>
      </c>
    </row>
    <row r="16" spans="1:12" ht="26" x14ac:dyDescent="0.35">
      <c r="A16" s="9" t="s">
        <v>11</v>
      </c>
      <c r="B16" s="3">
        <v>2</v>
      </c>
      <c r="C16" s="3">
        <v>1</v>
      </c>
      <c r="D16" s="3">
        <f t="shared" si="3"/>
        <v>2</v>
      </c>
      <c r="E16" s="3">
        <v>0</v>
      </c>
      <c r="F16" s="3">
        <f t="shared" si="0"/>
        <v>0</v>
      </c>
      <c r="G16" s="3">
        <f t="shared" si="1"/>
        <v>0</v>
      </c>
      <c r="H16" s="3">
        <f t="shared" si="2"/>
        <v>0</v>
      </c>
      <c r="I16" s="6">
        <f t="shared" si="4"/>
        <v>0</v>
      </c>
    </row>
    <row r="17" spans="1:14" ht="15.5" x14ac:dyDescent="0.35">
      <c r="A17" s="9" t="s">
        <v>63</v>
      </c>
      <c r="B17" s="3">
        <v>2</v>
      </c>
      <c r="C17" s="3">
        <v>1</v>
      </c>
      <c r="D17" s="3">
        <f t="shared" si="3"/>
        <v>2</v>
      </c>
      <c r="E17" s="3">
        <v>0</v>
      </c>
      <c r="F17" s="3">
        <f t="shared" si="0"/>
        <v>0</v>
      </c>
      <c r="G17" s="3">
        <f t="shared" si="1"/>
        <v>0</v>
      </c>
      <c r="H17" s="3">
        <f t="shared" si="2"/>
        <v>0</v>
      </c>
      <c r="I17" s="6">
        <f t="shared" si="4"/>
        <v>0</v>
      </c>
    </row>
    <row r="18" spans="1:14" ht="15.5" x14ac:dyDescent="0.35">
      <c r="A18" s="9" t="s">
        <v>64</v>
      </c>
      <c r="B18" s="3">
        <v>4</v>
      </c>
      <c r="C18" s="3">
        <v>1</v>
      </c>
      <c r="D18" s="3">
        <f t="shared" si="3"/>
        <v>4</v>
      </c>
      <c r="E18" s="3">
        <v>0</v>
      </c>
      <c r="F18" s="3">
        <f t="shared" si="0"/>
        <v>0</v>
      </c>
      <c r="G18" s="3">
        <f t="shared" si="1"/>
        <v>0</v>
      </c>
      <c r="H18" s="3">
        <f t="shared" si="2"/>
        <v>0</v>
      </c>
      <c r="I18" s="6">
        <f t="shared" si="4"/>
        <v>0</v>
      </c>
    </row>
    <row r="19" spans="1:14" ht="15.5" x14ac:dyDescent="0.35">
      <c r="A19" s="9" t="s">
        <v>65</v>
      </c>
      <c r="B19" s="3">
        <v>4</v>
      </c>
      <c r="C19" s="3">
        <v>1</v>
      </c>
      <c r="D19" s="3">
        <f t="shared" si="3"/>
        <v>4</v>
      </c>
      <c r="E19" s="3">
        <v>0</v>
      </c>
      <c r="F19" s="3">
        <f t="shared" si="0"/>
        <v>0</v>
      </c>
      <c r="G19" s="3">
        <f t="shared" si="1"/>
        <v>0</v>
      </c>
      <c r="H19" s="3">
        <f t="shared" si="2"/>
        <v>0</v>
      </c>
      <c r="I19" s="6">
        <f t="shared" si="4"/>
        <v>0</v>
      </c>
    </row>
    <row r="20" spans="1:14" x14ac:dyDescent="0.35">
      <c r="A20" s="20" t="s">
        <v>50</v>
      </c>
      <c r="B20" s="7"/>
      <c r="C20" s="7"/>
      <c r="D20" s="3"/>
      <c r="E20" s="7"/>
      <c r="F20" s="52">
        <f>SUM(F5:H19)</f>
        <v>23</v>
      </c>
      <c r="G20" s="52"/>
      <c r="H20" s="52"/>
      <c r="I20" s="8">
        <f>+SUM(I5:I19)</f>
        <v>2761.4790000000003</v>
      </c>
    </row>
    <row r="21" spans="1:14" x14ac:dyDescent="0.35">
      <c r="A21" s="9" t="s">
        <v>12</v>
      </c>
      <c r="B21" s="3"/>
      <c r="C21" s="3"/>
      <c r="D21" s="3"/>
      <c r="E21" s="3"/>
      <c r="F21" s="3"/>
      <c r="G21" s="3"/>
      <c r="H21" s="3"/>
      <c r="I21" s="3"/>
    </row>
    <row r="22" spans="1:14" ht="15.5" x14ac:dyDescent="0.35">
      <c r="A22" s="9" t="s">
        <v>56</v>
      </c>
      <c r="B22" s="3" t="s">
        <v>13</v>
      </c>
      <c r="C22" s="3"/>
      <c r="D22" s="3"/>
      <c r="E22" s="3"/>
      <c r="F22" s="3"/>
      <c r="G22" s="3"/>
      <c r="H22" s="3"/>
      <c r="I22" s="3"/>
    </row>
    <row r="23" spans="1:14" x14ac:dyDescent="0.35">
      <c r="A23" s="9" t="s">
        <v>14</v>
      </c>
      <c r="B23" s="3" t="s">
        <v>13</v>
      </c>
      <c r="C23" s="3"/>
      <c r="D23" s="3"/>
      <c r="E23" s="3"/>
      <c r="F23" s="3"/>
      <c r="G23" s="3"/>
      <c r="H23" s="3"/>
      <c r="I23" s="3"/>
    </row>
    <row r="24" spans="1:14" x14ac:dyDescent="0.35">
      <c r="A24" s="9" t="s">
        <v>15</v>
      </c>
      <c r="B24" s="3" t="s">
        <v>13</v>
      </c>
      <c r="C24" s="3"/>
      <c r="D24" s="3"/>
      <c r="E24" s="3"/>
      <c r="F24" s="3"/>
      <c r="G24" s="3"/>
      <c r="H24" s="3"/>
      <c r="I24" s="3"/>
    </row>
    <row r="25" spans="1:14" x14ac:dyDescent="0.35">
      <c r="A25" s="9" t="s">
        <v>16</v>
      </c>
      <c r="B25" s="3" t="s">
        <v>2</v>
      </c>
      <c r="C25" s="7"/>
      <c r="D25" s="3"/>
      <c r="E25" s="7"/>
      <c r="F25" s="7"/>
      <c r="G25" s="7"/>
      <c r="H25" s="7"/>
      <c r="I25" s="3"/>
    </row>
    <row r="26" spans="1:14" x14ac:dyDescent="0.35">
      <c r="A26" s="9" t="s">
        <v>17</v>
      </c>
      <c r="B26" s="7"/>
      <c r="C26" s="7"/>
      <c r="D26" s="3"/>
      <c r="E26" s="7"/>
      <c r="F26" s="7"/>
      <c r="G26" s="7"/>
      <c r="H26" s="7"/>
      <c r="I26" s="3"/>
    </row>
    <row r="27" spans="1:14" ht="39" x14ac:dyDescent="0.35">
      <c r="A27" s="9" t="s">
        <v>18</v>
      </c>
      <c r="B27" s="3">
        <v>1.5</v>
      </c>
      <c r="C27" s="3">
        <v>1</v>
      </c>
      <c r="D27" s="3">
        <f t="shared" si="3"/>
        <v>1.5</v>
      </c>
      <c r="E27" s="3">
        <v>20</v>
      </c>
      <c r="F27" s="3">
        <f t="shared" ref="F27" si="5">+D27*E27</f>
        <v>30</v>
      </c>
      <c r="G27" s="3">
        <f t="shared" ref="G27:G28" si="6">F27*0.05</f>
        <v>1.5</v>
      </c>
      <c r="H27" s="13">
        <f t="shared" ref="H27" si="7">+F27*0.1</f>
        <v>3</v>
      </c>
      <c r="I27" s="11">
        <f>+$L$7*F27+$L$6*G27+$L$8*H27</f>
        <v>4142.2184999999999</v>
      </c>
    </row>
    <row r="28" spans="1:14" ht="15.5" x14ac:dyDescent="0.35">
      <c r="A28" s="9" t="s">
        <v>67</v>
      </c>
      <c r="B28" s="3">
        <v>0.25</v>
      </c>
      <c r="C28" s="3">
        <v>350</v>
      </c>
      <c r="D28" s="3">
        <f t="shared" si="3"/>
        <v>87.5</v>
      </c>
      <c r="E28" s="3">
        <v>20</v>
      </c>
      <c r="F28" s="5">
        <f t="shared" ref="F28" si="8">+D28*E28</f>
        <v>1750</v>
      </c>
      <c r="G28" s="3">
        <f t="shared" si="6"/>
        <v>87.5</v>
      </c>
      <c r="H28" s="3">
        <f t="shared" ref="H28" si="9">+F28*0.1</f>
        <v>175</v>
      </c>
      <c r="I28" s="11">
        <f>+$L$7*F28+$L$6*G28+$L$8*H28</f>
        <v>241629.41250000001</v>
      </c>
    </row>
    <row r="29" spans="1:14" x14ac:dyDescent="0.35">
      <c r="A29" s="9" t="s">
        <v>19</v>
      </c>
      <c r="B29" s="3" t="s">
        <v>2</v>
      </c>
      <c r="C29" s="7"/>
      <c r="D29" s="7"/>
      <c r="E29" s="7"/>
      <c r="F29" s="7"/>
      <c r="G29" s="7"/>
      <c r="H29" s="7"/>
      <c r="I29" s="3"/>
    </row>
    <row r="30" spans="1:14" x14ac:dyDescent="0.35">
      <c r="A30" s="9" t="s">
        <v>20</v>
      </c>
      <c r="B30" s="3" t="s">
        <v>2</v>
      </c>
      <c r="C30" s="7"/>
      <c r="D30" s="7"/>
      <c r="E30" s="7"/>
      <c r="F30" s="7"/>
      <c r="G30" s="7"/>
      <c r="H30" s="7"/>
      <c r="I30" s="3"/>
      <c r="L30" s="32" t="s">
        <v>110</v>
      </c>
      <c r="M30" s="33"/>
      <c r="N30" s="34"/>
    </row>
    <row r="31" spans="1:14" x14ac:dyDescent="0.35">
      <c r="A31" s="20" t="s">
        <v>51</v>
      </c>
      <c r="B31" s="3"/>
      <c r="C31" s="3"/>
      <c r="D31" s="3"/>
      <c r="E31" s="3"/>
      <c r="F31" s="53">
        <f>+SUM(F21:H30)</f>
        <v>2047</v>
      </c>
      <c r="G31" s="53"/>
      <c r="H31" s="53"/>
      <c r="I31" s="8">
        <f>+SUM(I21:I30)</f>
        <v>245771.63099999999</v>
      </c>
      <c r="L31" s="35">
        <f>F32+'Table 1b'!F32</f>
        <v>3730</v>
      </c>
      <c r="M31" t="s">
        <v>107</v>
      </c>
      <c r="N31" s="36"/>
    </row>
    <row r="32" spans="1:14" ht="15.5" x14ac:dyDescent="0.35">
      <c r="A32" s="22" t="s">
        <v>60</v>
      </c>
      <c r="B32" s="4"/>
      <c r="C32" s="4"/>
      <c r="D32" s="4"/>
      <c r="E32" s="4"/>
      <c r="F32" s="53">
        <f>ROUND(F20+F31,-1)</f>
        <v>2070</v>
      </c>
      <c r="G32" s="53"/>
      <c r="H32" s="53"/>
      <c r="I32" s="8">
        <f>ROUND(I20+I31,-3)</f>
        <v>249000</v>
      </c>
      <c r="L32" s="37">
        <f>I32+'Table 1b'!I32</f>
        <v>334000</v>
      </c>
      <c r="M32" t="s">
        <v>108</v>
      </c>
      <c r="N32" s="36"/>
    </row>
    <row r="33" spans="1:14" ht="15" customHeight="1" x14ac:dyDescent="0.35">
      <c r="A33" s="22" t="s">
        <v>59</v>
      </c>
      <c r="B33" s="4"/>
      <c r="C33" s="4"/>
      <c r="D33" s="4"/>
      <c r="E33" s="4"/>
      <c r="F33" s="10"/>
      <c r="G33" s="10"/>
      <c r="H33" s="10"/>
      <c r="I33" s="8">
        <f>ROUND('Capital O&amp;M'!J6*21/37,-2)</f>
        <v>72100</v>
      </c>
      <c r="L33" s="38">
        <f>ROUND(L31/Responses!F19,0)</f>
        <v>52</v>
      </c>
      <c r="M33" s="39" t="s">
        <v>106</v>
      </c>
      <c r="N33" s="40"/>
    </row>
    <row r="34" spans="1:14" ht="15.5" x14ac:dyDescent="0.35">
      <c r="A34" s="22" t="s">
        <v>58</v>
      </c>
      <c r="B34" s="4"/>
      <c r="C34" s="4"/>
      <c r="D34" s="4"/>
      <c r="E34" s="4"/>
      <c r="F34" s="10"/>
      <c r="G34" s="10"/>
      <c r="H34" s="10"/>
      <c r="I34" s="8">
        <f>ROUND(+I33+I32,-3)</f>
        <v>321000</v>
      </c>
      <c r="L34" s="23">
        <f>I34+'Table 1b'!I34</f>
        <v>462000</v>
      </c>
      <c r="M34" t="s">
        <v>112</v>
      </c>
    </row>
    <row r="36" spans="1:14" x14ac:dyDescent="0.35">
      <c r="A36" s="12" t="s">
        <v>29</v>
      </c>
    </row>
    <row r="37" spans="1:14" ht="31.5" customHeight="1" x14ac:dyDescent="0.35">
      <c r="A37" s="50" t="s">
        <v>123</v>
      </c>
      <c r="B37" s="50"/>
      <c r="C37" s="50"/>
      <c r="D37" s="50"/>
      <c r="E37" s="50"/>
      <c r="F37" s="50"/>
      <c r="G37" s="50"/>
      <c r="H37" s="50"/>
      <c r="I37" s="50"/>
    </row>
    <row r="38" spans="1:14" ht="60.65" customHeight="1" x14ac:dyDescent="0.35">
      <c r="A38" s="54" t="s">
        <v>120</v>
      </c>
      <c r="B38" s="54"/>
      <c r="C38" s="54"/>
      <c r="D38" s="54"/>
      <c r="E38" s="54"/>
      <c r="F38" s="54"/>
      <c r="G38" s="54"/>
      <c r="H38" s="54"/>
      <c r="I38" s="54"/>
      <c r="J38" s="54"/>
    </row>
    <row r="39" spans="1:14" x14ac:dyDescent="0.35">
      <c r="A39" s="50" t="s">
        <v>55</v>
      </c>
      <c r="B39" s="50"/>
      <c r="C39" s="50"/>
      <c r="D39" s="50"/>
      <c r="E39" s="50"/>
      <c r="F39" s="50"/>
      <c r="G39" s="50"/>
      <c r="H39" s="50"/>
      <c r="I39" s="50"/>
    </row>
    <row r="40" spans="1:14" x14ac:dyDescent="0.35">
      <c r="A40" s="50" t="s">
        <v>30</v>
      </c>
      <c r="B40" s="50"/>
      <c r="C40" s="50"/>
      <c r="D40" s="50"/>
      <c r="E40" s="50"/>
      <c r="F40" s="50"/>
      <c r="G40" s="50"/>
      <c r="H40" s="50"/>
      <c r="I40" s="50"/>
    </row>
    <row r="41" spans="1:14" x14ac:dyDescent="0.35">
      <c r="A41" s="50" t="s">
        <v>69</v>
      </c>
      <c r="B41" s="50"/>
      <c r="C41" s="50"/>
      <c r="D41" s="50"/>
      <c r="E41" s="50"/>
      <c r="F41" s="50"/>
      <c r="G41" s="50"/>
      <c r="H41" s="50"/>
      <c r="I41" s="50"/>
    </row>
    <row r="42" spans="1:14" x14ac:dyDescent="0.35">
      <c r="A42" s="50" t="s">
        <v>66</v>
      </c>
      <c r="B42" s="50"/>
      <c r="C42" s="50"/>
      <c r="D42" s="50"/>
      <c r="E42" s="50"/>
      <c r="F42" s="50"/>
      <c r="G42" s="50"/>
      <c r="H42" s="50"/>
      <c r="I42" s="50"/>
    </row>
    <row r="43" spans="1:14" x14ac:dyDescent="0.35">
      <c r="A43" s="50" t="s">
        <v>68</v>
      </c>
      <c r="B43" s="50"/>
      <c r="C43" s="50"/>
      <c r="D43" s="50"/>
      <c r="E43" s="50"/>
      <c r="F43" s="50"/>
      <c r="G43" s="50"/>
      <c r="H43" s="50"/>
      <c r="I43" s="50"/>
    </row>
    <row r="44" spans="1:14" x14ac:dyDescent="0.35">
      <c r="A44" s="50" t="s">
        <v>70</v>
      </c>
      <c r="B44" s="50"/>
      <c r="C44" s="50"/>
      <c r="D44" s="50"/>
      <c r="E44" s="50"/>
      <c r="F44" s="50"/>
      <c r="G44" s="50"/>
      <c r="H44" s="50"/>
      <c r="I44" s="50"/>
    </row>
  </sheetData>
  <mergeCells count="12">
    <mergeCell ref="K5:L5"/>
    <mergeCell ref="A37:I37"/>
    <mergeCell ref="A39:I39"/>
    <mergeCell ref="F20:H20"/>
    <mergeCell ref="F31:H31"/>
    <mergeCell ref="F32:H32"/>
    <mergeCell ref="A38:J38"/>
    <mergeCell ref="A40:I40"/>
    <mergeCell ref="A41:I41"/>
    <mergeCell ref="A42:I42"/>
    <mergeCell ref="A43:I43"/>
    <mergeCell ref="A44:I4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E606A-60C0-4C42-8FB8-42E74181E003}">
  <dimension ref="A1:L44"/>
  <sheetViews>
    <sheetView topLeftCell="A27" workbookViewId="0">
      <selection activeCell="A38" sqref="A38:L38"/>
    </sheetView>
  </sheetViews>
  <sheetFormatPr defaultRowHeight="14.5" x14ac:dyDescent="0.35"/>
  <cols>
    <col min="1" max="1" width="50.7265625" customWidth="1"/>
    <col min="2" max="2" width="10.54296875" customWidth="1"/>
    <col min="3" max="3" width="10.7265625" customWidth="1"/>
    <col min="5" max="5" width="11.453125" customWidth="1"/>
    <col min="9" max="9" width="11.26953125" customWidth="1"/>
    <col min="11" max="11" width="11" bestFit="1" customWidth="1"/>
  </cols>
  <sheetData>
    <row r="1" spans="1:12" ht="15.5" x14ac:dyDescent="0.35">
      <c r="A1" s="14" t="s">
        <v>49</v>
      </c>
    </row>
    <row r="2" spans="1:12" x14ac:dyDescent="0.35">
      <c r="A2" s="1"/>
    </row>
    <row r="4" spans="1:12" ht="91" x14ac:dyDescent="0.35">
      <c r="A4" s="2" t="s">
        <v>0</v>
      </c>
      <c r="B4" s="2" t="s">
        <v>21</v>
      </c>
      <c r="C4" s="2" t="s">
        <v>22</v>
      </c>
      <c r="D4" s="2" t="s">
        <v>25</v>
      </c>
      <c r="E4" s="2" t="s">
        <v>23</v>
      </c>
      <c r="F4" s="2" t="s">
        <v>24</v>
      </c>
      <c r="G4" s="2" t="s">
        <v>26</v>
      </c>
      <c r="H4" s="2" t="s">
        <v>27</v>
      </c>
      <c r="I4" s="2" t="s">
        <v>28</v>
      </c>
    </row>
    <row r="5" spans="1:12" x14ac:dyDescent="0.35">
      <c r="A5" s="9" t="s">
        <v>1</v>
      </c>
      <c r="B5" s="3" t="s">
        <v>2</v>
      </c>
      <c r="C5" s="3"/>
      <c r="D5" s="3"/>
      <c r="E5" s="3"/>
      <c r="F5" s="3"/>
      <c r="G5" s="3"/>
      <c r="H5" s="3"/>
      <c r="I5" s="3"/>
      <c r="K5" s="51" t="s">
        <v>44</v>
      </c>
      <c r="L5" s="51"/>
    </row>
    <row r="6" spans="1:12" x14ac:dyDescent="0.35">
      <c r="A6" s="9" t="s">
        <v>3</v>
      </c>
      <c r="B6" s="3" t="s">
        <v>2</v>
      </c>
      <c r="C6" s="3"/>
      <c r="D6" s="3"/>
      <c r="E6" s="3"/>
      <c r="F6" s="3"/>
      <c r="G6" s="3"/>
      <c r="H6" s="3"/>
      <c r="I6" s="3"/>
      <c r="K6" s="21" t="s">
        <v>45</v>
      </c>
      <c r="L6" s="45">
        <v>70.56</v>
      </c>
    </row>
    <row r="7" spans="1:12" x14ac:dyDescent="0.35">
      <c r="A7" s="9" t="s">
        <v>4</v>
      </c>
      <c r="B7" s="3"/>
      <c r="C7" s="3"/>
      <c r="D7" s="3"/>
      <c r="E7" s="3"/>
      <c r="F7" s="3"/>
      <c r="G7" s="3"/>
      <c r="H7" s="3"/>
      <c r="I7" s="3"/>
      <c r="K7" s="21" t="s">
        <v>46</v>
      </c>
      <c r="L7" s="45">
        <v>52.37</v>
      </c>
    </row>
    <row r="8" spans="1:12" ht="15.5" x14ac:dyDescent="0.35">
      <c r="A8" s="9" t="s">
        <v>56</v>
      </c>
      <c r="B8" s="3">
        <v>1</v>
      </c>
      <c r="C8" s="3">
        <v>1</v>
      </c>
      <c r="D8" s="3">
        <f>B8*C8</f>
        <v>1</v>
      </c>
      <c r="E8" s="3">
        <v>16</v>
      </c>
      <c r="F8" s="3">
        <f>+D8*E8</f>
        <v>16</v>
      </c>
      <c r="G8" s="3">
        <f>F8*0.05</f>
        <v>0.8</v>
      </c>
      <c r="H8" s="3">
        <f>+F8*0.1</f>
        <v>1.6</v>
      </c>
      <c r="I8" s="11">
        <f>+$L$7*F8+$L$6*G8+$L$8*H8</f>
        <v>939.71199999999999</v>
      </c>
      <c r="K8" s="21" t="s">
        <v>47</v>
      </c>
      <c r="L8" s="45">
        <v>28.34</v>
      </c>
    </row>
    <row r="9" spans="1:12" x14ac:dyDescent="0.35">
      <c r="A9" s="9" t="s">
        <v>5</v>
      </c>
      <c r="B9" s="7"/>
      <c r="C9" s="7"/>
      <c r="D9" s="3"/>
      <c r="E9" s="7"/>
      <c r="F9" s="3"/>
      <c r="G9" s="3"/>
      <c r="H9" s="3"/>
      <c r="I9" s="6"/>
    </row>
    <row r="10" spans="1:12" ht="15.5" x14ac:dyDescent="0.35">
      <c r="A10" s="9" t="s">
        <v>57</v>
      </c>
      <c r="B10" s="3">
        <v>200</v>
      </c>
      <c r="C10" s="3">
        <v>1</v>
      </c>
      <c r="D10" s="3">
        <f t="shared" ref="D10" si="0">B10*C10</f>
        <v>200</v>
      </c>
      <c r="E10" s="3">
        <v>0</v>
      </c>
      <c r="F10" s="3">
        <f t="shared" ref="F10" si="1">+D10*E10</f>
        <v>0</v>
      </c>
      <c r="G10" s="3">
        <f t="shared" ref="G10" si="2">F10*0.05</f>
        <v>0</v>
      </c>
      <c r="H10" s="3">
        <f t="shared" ref="H10" si="3">+F10*0.1</f>
        <v>0</v>
      </c>
      <c r="I10" s="6">
        <f t="shared" ref="I10" si="4">+$F$3*F10+$G$3*G10+$H$3*H10</f>
        <v>0</v>
      </c>
    </row>
    <row r="11" spans="1:12" x14ac:dyDescent="0.35">
      <c r="A11" s="9" t="s">
        <v>6</v>
      </c>
      <c r="B11" s="3" t="s">
        <v>7</v>
      </c>
      <c r="C11" s="7"/>
      <c r="D11" s="3"/>
      <c r="E11" s="7"/>
      <c r="F11" s="3"/>
      <c r="G11" s="3"/>
      <c r="H11" s="3"/>
      <c r="I11" s="6"/>
    </row>
    <row r="12" spans="1:12" x14ac:dyDescent="0.35">
      <c r="A12" s="9" t="s">
        <v>8</v>
      </c>
      <c r="B12" s="3" t="s">
        <v>9</v>
      </c>
      <c r="C12" s="7"/>
      <c r="D12" s="3"/>
      <c r="E12" s="7"/>
      <c r="F12" s="3"/>
      <c r="G12" s="3"/>
      <c r="H12" s="3"/>
      <c r="I12" s="6"/>
    </row>
    <row r="13" spans="1:12" x14ac:dyDescent="0.35">
      <c r="A13" s="9" t="s">
        <v>10</v>
      </c>
      <c r="B13" s="7"/>
      <c r="C13" s="7"/>
      <c r="D13" s="3"/>
      <c r="E13" s="7"/>
      <c r="F13" s="3"/>
      <c r="G13" s="3"/>
      <c r="H13" s="3"/>
      <c r="I13" s="6"/>
    </row>
    <row r="14" spans="1:12" ht="15.5" x14ac:dyDescent="0.35">
      <c r="A14" s="9" t="s">
        <v>61</v>
      </c>
      <c r="B14" s="3">
        <v>2</v>
      </c>
      <c r="C14" s="3">
        <v>1</v>
      </c>
      <c r="D14" s="3">
        <f t="shared" ref="D14:D19" si="5">B14*C14</f>
        <v>2</v>
      </c>
      <c r="E14" s="3">
        <v>0</v>
      </c>
      <c r="F14" s="3">
        <f>+D14*E14</f>
        <v>0</v>
      </c>
      <c r="G14" s="3">
        <f>F14*0.05</f>
        <v>0</v>
      </c>
      <c r="H14" s="3">
        <f>+F14*0.1</f>
        <v>0</v>
      </c>
      <c r="I14" s="6">
        <f t="shared" ref="I14:I19" si="6">+$L$7*F14+$L$6*G14+$L$8*H14</f>
        <v>0</v>
      </c>
    </row>
    <row r="15" spans="1:12" ht="15.5" x14ac:dyDescent="0.35">
      <c r="A15" s="9" t="s">
        <v>62</v>
      </c>
      <c r="B15" s="3">
        <v>2</v>
      </c>
      <c r="C15" s="3">
        <v>1</v>
      </c>
      <c r="D15" s="3">
        <f t="shared" si="5"/>
        <v>2</v>
      </c>
      <c r="E15" s="3">
        <v>0</v>
      </c>
      <c r="F15" s="3">
        <f t="shared" ref="F15:F19" si="7">+D15*E15</f>
        <v>0</v>
      </c>
      <c r="G15" s="3">
        <f t="shared" ref="G15:G19" si="8">F15*0.05</f>
        <v>0</v>
      </c>
      <c r="H15" s="3">
        <f t="shared" ref="H15:H19" si="9">+F15*0.1</f>
        <v>0</v>
      </c>
      <c r="I15" s="6">
        <f t="shared" si="6"/>
        <v>0</v>
      </c>
    </row>
    <row r="16" spans="1:12" ht="26" x14ac:dyDescent="0.35">
      <c r="A16" s="9" t="s">
        <v>11</v>
      </c>
      <c r="B16" s="3">
        <v>2</v>
      </c>
      <c r="C16" s="3">
        <v>1</v>
      </c>
      <c r="D16" s="3">
        <f t="shared" si="5"/>
        <v>2</v>
      </c>
      <c r="E16" s="3">
        <v>0</v>
      </c>
      <c r="F16" s="3">
        <f t="shared" si="7"/>
        <v>0</v>
      </c>
      <c r="G16" s="3">
        <f t="shared" si="8"/>
        <v>0</v>
      </c>
      <c r="H16" s="3">
        <f t="shared" si="9"/>
        <v>0</v>
      </c>
      <c r="I16" s="6">
        <f t="shared" si="6"/>
        <v>0</v>
      </c>
    </row>
    <row r="17" spans="1:9" ht="15.5" x14ac:dyDescent="0.35">
      <c r="A17" s="9" t="s">
        <v>63</v>
      </c>
      <c r="B17" s="3">
        <v>2</v>
      </c>
      <c r="C17" s="3">
        <v>1</v>
      </c>
      <c r="D17" s="3">
        <f t="shared" si="5"/>
        <v>2</v>
      </c>
      <c r="E17" s="3">
        <v>0</v>
      </c>
      <c r="F17" s="3">
        <f t="shared" si="7"/>
        <v>0</v>
      </c>
      <c r="G17" s="3">
        <f t="shared" si="8"/>
        <v>0</v>
      </c>
      <c r="H17" s="3">
        <f t="shared" si="9"/>
        <v>0</v>
      </c>
      <c r="I17" s="6">
        <f t="shared" si="6"/>
        <v>0</v>
      </c>
    </row>
    <row r="18" spans="1:9" ht="15.5" x14ac:dyDescent="0.35">
      <c r="A18" s="9" t="s">
        <v>64</v>
      </c>
      <c r="B18" s="3">
        <v>4</v>
      </c>
      <c r="C18" s="3">
        <v>1</v>
      </c>
      <c r="D18" s="3">
        <f t="shared" si="5"/>
        <v>4</v>
      </c>
      <c r="E18" s="3">
        <v>0</v>
      </c>
      <c r="F18" s="3">
        <f t="shared" si="7"/>
        <v>0</v>
      </c>
      <c r="G18" s="3">
        <f t="shared" si="8"/>
        <v>0</v>
      </c>
      <c r="H18" s="3">
        <f t="shared" si="9"/>
        <v>0</v>
      </c>
      <c r="I18" s="6">
        <f t="shared" si="6"/>
        <v>0</v>
      </c>
    </row>
    <row r="19" spans="1:9" ht="15.5" x14ac:dyDescent="0.35">
      <c r="A19" s="9" t="s">
        <v>65</v>
      </c>
      <c r="B19" s="3">
        <v>4</v>
      </c>
      <c r="C19" s="3">
        <v>1</v>
      </c>
      <c r="D19" s="3">
        <f t="shared" si="5"/>
        <v>4</v>
      </c>
      <c r="E19" s="3">
        <v>0</v>
      </c>
      <c r="F19" s="3">
        <f t="shared" si="7"/>
        <v>0</v>
      </c>
      <c r="G19" s="3">
        <f t="shared" si="8"/>
        <v>0</v>
      </c>
      <c r="H19" s="3">
        <f t="shared" si="9"/>
        <v>0</v>
      </c>
      <c r="I19" s="6">
        <f t="shared" si="6"/>
        <v>0</v>
      </c>
    </row>
    <row r="20" spans="1:9" x14ac:dyDescent="0.35">
      <c r="A20" s="20" t="s">
        <v>50</v>
      </c>
      <c r="B20" s="7"/>
      <c r="C20" s="7"/>
      <c r="D20" s="3"/>
      <c r="E20" s="7"/>
      <c r="F20" s="52">
        <f>SUM(F5:H19)</f>
        <v>18.400000000000002</v>
      </c>
      <c r="G20" s="52"/>
      <c r="H20" s="52"/>
      <c r="I20" s="8">
        <f>+SUM(I5:I19)</f>
        <v>939.71199999999999</v>
      </c>
    </row>
    <row r="21" spans="1:9" x14ac:dyDescent="0.35">
      <c r="A21" s="9" t="s">
        <v>12</v>
      </c>
      <c r="B21" s="3"/>
      <c r="C21" s="3"/>
      <c r="D21" s="3"/>
      <c r="E21" s="3"/>
      <c r="F21" s="3"/>
      <c r="G21" s="3"/>
      <c r="H21" s="3"/>
      <c r="I21" s="3"/>
    </row>
    <row r="22" spans="1:9" ht="15.5" x14ac:dyDescent="0.35">
      <c r="A22" s="9" t="s">
        <v>56</v>
      </c>
      <c r="B22" s="3" t="s">
        <v>13</v>
      </c>
      <c r="C22" s="3"/>
      <c r="D22" s="3"/>
      <c r="E22" s="3"/>
      <c r="F22" s="3"/>
      <c r="G22" s="3"/>
      <c r="H22" s="3"/>
      <c r="I22" s="3"/>
    </row>
    <row r="23" spans="1:9" x14ac:dyDescent="0.35">
      <c r="A23" s="9" t="s">
        <v>14</v>
      </c>
      <c r="B23" s="3" t="s">
        <v>13</v>
      </c>
      <c r="C23" s="3"/>
      <c r="D23" s="3"/>
      <c r="E23" s="3"/>
      <c r="F23" s="3"/>
      <c r="G23" s="3"/>
      <c r="H23" s="3"/>
      <c r="I23" s="3"/>
    </row>
    <row r="24" spans="1:9" x14ac:dyDescent="0.35">
      <c r="A24" s="9" t="s">
        <v>15</v>
      </c>
      <c r="B24" s="3" t="s">
        <v>13</v>
      </c>
      <c r="C24" s="3"/>
      <c r="D24" s="3"/>
      <c r="E24" s="3"/>
      <c r="F24" s="3"/>
      <c r="G24" s="3"/>
      <c r="H24" s="3"/>
      <c r="I24" s="3"/>
    </row>
    <row r="25" spans="1:9" x14ac:dyDescent="0.35">
      <c r="A25" s="9" t="s">
        <v>16</v>
      </c>
      <c r="B25" s="3" t="s">
        <v>2</v>
      </c>
      <c r="C25" s="7"/>
      <c r="D25" s="3"/>
      <c r="E25" s="7"/>
      <c r="F25" s="7"/>
      <c r="G25" s="7"/>
      <c r="H25" s="7"/>
      <c r="I25" s="3"/>
    </row>
    <row r="26" spans="1:9" x14ac:dyDescent="0.35">
      <c r="A26" s="9" t="s">
        <v>17</v>
      </c>
      <c r="B26" s="7"/>
      <c r="C26" s="7"/>
      <c r="D26" s="3"/>
      <c r="E26" s="7"/>
      <c r="F26" s="7"/>
      <c r="G26" s="7"/>
      <c r="H26" s="7"/>
      <c r="I26" s="3"/>
    </row>
    <row r="27" spans="1:9" ht="39" x14ac:dyDescent="0.35">
      <c r="A27" s="9" t="s">
        <v>18</v>
      </c>
      <c r="B27" s="3">
        <v>1.5</v>
      </c>
      <c r="C27" s="3">
        <v>1</v>
      </c>
      <c r="D27" s="3">
        <f t="shared" ref="D27:D28" si="10">B27*C27</f>
        <v>1.5</v>
      </c>
      <c r="E27" s="3">
        <v>16</v>
      </c>
      <c r="F27" s="3">
        <f>+D27*E27</f>
        <v>24</v>
      </c>
      <c r="G27" s="3">
        <f t="shared" ref="G27:G28" si="11">F27*0.05</f>
        <v>1.2000000000000002</v>
      </c>
      <c r="H27" s="13">
        <f t="shared" ref="H27:H28" si="12">+F27*0.1</f>
        <v>2.4000000000000004</v>
      </c>
      <c r="I27" s="11">
        <f>+$L$7*F27+$L$6*G27+$L$8*H27</f>
        <v>1409.568</v>
      </c>
    </row>
    <row r="28" spans="1:9" ht="15.5" x14ac:dyDescent="0.35">
      <c r="A28" s="9" t="s">
        <v>67</v>
      </c>
      <c r="B28" s="3">
        <v>0.25</v>
      </c>
      <c r="C28" s="3">
        <v>350</v>
      </c>
      <c r="D28" s="3">
        <f t="shared" si="10"/>
        <v>87.5</v>
      </c>
      <c r="E28" s="3">
        <v>16</v>
      </c>
      <c r="F28" s="5">
        <f t="shared" ref="F28" si="13">+D28*E28</f>
        <v>1400</v>
      </c>
      <c r="G28" s="3">
        <f t="shared" si="11"/>
        <v>70</v>
      </c>
      <c r="H28" s="3">
        <f t="shared" si="12"/>
        <v>140</v>
      </c>
      <c r="I28" s="11">
        <f>+$L$7*F28+$L$6*G28+$L$8*H28</f>
        <v>82224.800000000003</v>
      </c>
    </row>
    <row r="29" spans="1:9" x14ac:dyDescent="0.35">
      <c r="A29" s="9" t="s">
        <v>19</v>
      </c>
      <c r="B29" s="3" t="s">
        <v>2</v>
      </c>
      <c r="C29" s="7"/>
      <c r="D29" s="7"/>
      <c r="E29" s="7"/>
      <c r="F29" s="7"/>
      <c r="G29" s="7"/>
      <c r="H29" s="7"/>
      <c r="I29" s="3"/>
    </row>
    <row r="30" spans="1:9" x14ac:dyDescent="0.35">
      <c r="A30" s="9" t="s">
        <v>20</v>
      </c>
      <c r="B30" s="3" t="s">
        <v>2</v>
      </c>
      <c r="C30" s="7"/>
      <c r="D30" s="7"/>
      <c r="E30" s="7"/>
      <c r="F30" s="7"/>
      <c r="G30" s="7"/>
      <c r="H30" s="7"/>
      <c r="I30" s="3"/>
    </row>
    <row r="31" spans="1:9" x14ac:dyDescent="0.35">
      <c r="A31" s="20" t="s">
        <v>51</v>
      </c>
      <c r="B31" s="3"/>
      <c r="C31" s="3"/>
      <c r="D31" s="3"/>
      <c r="E31" s="3"/>
      <c r="F31" s="53">
        <f>+SUM(F21:H30)</f>
        <v>1637.6</v>
      </c>
      <c r="G31" s="53"/>
      <c r="H31" s="53"/>
      <c r="I31" s="8">
        <f>+SUM(I21:I30)</f>
        <v>83634.368000000002</v>
      </c>
    </row>
    <row r="32" spans="1:9" ht="15.5" x14ac:dyDescent="0.35">
      <c r="A32" s="22" t="s">
        <v>60</v>
      </c>
      <c r="B32" s="4"/>
      <c r="C32" s="4"/>
      <c r="D32" s="4"/>
      <c r="E32" s="4"/>
      <c r="F32" s="53">
        <f>ROUND(F20+F31,-1)</f>
        <v>1660</v>
      </c>
      <c r="G32" s="53"/>
      <c r="H32" s="53"/>
      <c r="I32" s="8">
        <f>ROUND(I20+I31,-3)</f>
        <v>85000</v>
      </c>
    </row>
    <row r="33" spans="1:12" ht="15" customHeight="1" x14ac:dyDescent="0.35">
      <c r="A33" s="22" t="s">
        <v>59</v>
      </c>
      <c r="B33" s="4"/>
      <c r="C33" s="4"/>
      <c r="D33" s="4"/>
      <c r="E33" s="4"/>
      <c r="F33" s="10"/>
      <c r="G33" s="10"/>
      <c r="H33" s="10"/>
      <c r="I33" s="8">
        <f>ROUND('Capital O&amp;M'!J6*16/36,-3)</f>
        <v>56000</v>
      </c>
    </row>
    <row r="34" spans="1:12" ht="15.5" x14ac:dyDescent="0.35">
      <c r="A34" s="22" t="s">
        <v>58</v>
      </c>
      <c r="B34" s="4"/>
      <c r="C34" s="4"/>
      <c r="D34" s="4"/>
      <c r="E34" s="4"/>
      <c r="F34" s="10"/>
      <c r="G34" s="10"/>
      <c r="H34" s="10"/>
      <c r="I34" s="8">
        <f>ROUND(+I33+I32,-3)</f>
        <v>141000</v>
      </c>
    </row>
    <row r="36" spans="1:12" x14ac:dyDescent="0.35">
      <c r="A36" s="12" t="s">
        <v>29</v>
      </c>
    </row>
    <row r="37" spans="1:12" ht="31.5" customHeight="1" x14ac:dyDescent="0.35">
      <c r="A37" s="50" t="s">
        <v>123</v>
      </c>
      <c r="B37" s="50"/>
      <c r="C37" s="50"/>
      <c r="D37" s="50"/>
      <c r="E37" s="50"/>
      <c r="F37" s="50"/>
      <c r="G37" s="50"/>
      <c r="H37" s="50"/>
      <c r="I37" s="50"/>
    </row>
    <row r="38" spans="1:12" ht="51" customHeight="1" x14ac:dyDescent="0.35">
      <c r="A38" s="54" t="s">
        <v>121</v>
      </c>
      <c r="B38" s="54"/>
      <c r="C38" s="54"/>
      <c r="D38" s="54"/>
      <c r="E38" s="54"/>
      <c r="F38" s="54"/>
      <c r="G38" s="54"/>
      <c r="H38" s="54"/>
      <c r="I38" s="54"/>
      <c r="J38" s="54"/>
      <c r="K38" s="54"/>
      <c r="L38" s="54"/>
    </row>
    <row r="39" spans="1:12" x14ac:dyDescent="0.35">
      <c r="A39" s="50" t="s">
        <v>55</v>
      </c>
      <c r="B39" s="50"/>
      <c r="C39" s="50"/>
      <c r="D39" s="50"/>
      <c r="E39" s="50"/>
      <c r="F39" s="50"/>
      <c r="G39" s="50"/>
      <c r="H39" s="50"/>
      <c r="I39" s="50"/>
    </row>
    <row r="40" spans="1:12" x14ac:dyDescent="0.35">
      <c r="A40" s="50" t="s">
        <v>30</v>
      </c>
      <c r="B40" s="50"/>
      <c r="C40" s="50"/>
      <c r="D40" s="50"/>
      <c r="E40" s="50"/>
      <c r="F40" s="50"/>
      <c r="G40" s="50"/>
      <c r="H40" s="50"/>
      <c r="I40" s="50"/>
    </row>
    <row r="41" spans="1:12" x14ac:dyDescent="0.35">
      <c r="A41" s="50" t="s">
        <v>69</v>
      </c>
      <c r="B41" s="50"/>
      <c r="C41" s="50"/>
      <c r="D41" s="50"/>
      <c r="E41" s="50"/>
      <c r="F41" s="50"/>
      <c r="G41" s="50"/>
      <c r="H41" s="50"/>
      <c r="I41" s="50"/>
    </row>
    <row r="42" spans="1:12" x14ac:dyDescent="0.35">
      <c r="A42" s="50" t="s">
        <v>66</v>
      </c>
      <c r="B42" s="50"/>
      <c r="C42" s="50"/>
      <c r="D42" s="50"/>
      <c r="E42" s="50"/>
      <c r="F42" s="50"/>
      <c r="G42" s="50"/>
      <c r="H42" s="50"/>
      <c r="I42" s="50"/>
    </row>
    <row r="43" spans="1:12" x14ac:dyDescent="0.35">
      <c r="A43" s="50" t="s">
        <v>68</v>
      </c>
      <c r="B43" s="50"/>
      <c r="C43" s="50"/>
      <c r="D43" s="50"/>
      <c r="E43" s="50"/>
      <c r="F43" s="50"/>
      <c r="G43" s="50"/>
      <c r="H43" s="50"/>
      <c r="I43" s="50"/>
    </row>
    <row r="44" spans="1:12" x14ac:dyDescent="0.35">
      <c r="A44" s="50" t="s">
        <v>70</v>
      </c>
      <c r="B44" s="50"/>
      <c r="C44" s="50"/>
      <c r="D44" s="50"/>
      <c r="E44" s="50"/>
      <c r="F44" s="50"/>
      <c r="G44" s="50"/>
      <c r="H44" s="50"/>
      <c r="I44" s="50"/>
    </row>
  </sheetData>
  <mergeCells count="12">
    <mergeCell ref="F32:H32"/>
    <mergeCell ref="K5:L5"/>
    <mergeCell ref="A44:I44"/>
    <mergeCell ref="A43:I43"/>
    <mergeCell ref="A42:I42"/>
    <mergeCell ref="A41:I41"/>
    <mergeCell ref="A40:I40"/>
    <mergeCell ref="A39:I39"/>
    <mergeCell ref="F20:H20"/>
    <mergeCell ref="F31:H31"/>
    <mergeCell ref="A37:I37"/>
    <mergeCell ref="A38:L3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0"/>
  <sheetViews>
    <sheetView zoomScaleNormal="100" workbookViewId="0">
      <selection activeCell="A14" sqref="A14:L14"/>
    </sheetView>
  </sheetViews>
  <sheetFormatPr defaultRowHeight="14.5" x14ac:dyDescent="0.35"/>
  <cols>
    <col min="1" max="1" width="45.453125" customWidth="1"/>
    <col min="2" max="2" width="10.7265625" customWidth="1"/>
    <col min="3" max="3" width="11.26953125" customWidth="1"/>
    <col min="4" max="4" width="11" customWidth="1"/>
    <col min="5" max="5" width="12.453125" customWidth="1"/>
    <col min="6" max="6" width="9.453125" customWidth="1"/>
    <col min="7" max="7" width="12.7265625" customWidth="1"/>
    <col min="8" max="8" width="10.7265625" customWidth="1"/>
    <col min="9" max="9" width="12.26953125" customWidth="1"/>
    <col min="11" max="11" width="11.26953125" bestFit="1" customWidth="1"/>
  </cols>
  <sheetData>
    <row r="1" spans="1:12" ht="15.5" x14ac:dyDescent="0.35">
      <c r="A1" s="14" t="s">
        <v>31</v>
      </c>
    </row>
    <row r="3" spans="1:12" ht="91" x14ac:dyDescent="0.35">
      <c r="A3" s="18" t="s">
        <v>0</v>
      </c>
      <c r="B3" s="2" t="s">
        <v>21</v>
      </c>
      <c r="C3" s="2" t="s">
        <v>33</v>
      </c>
      <c r="D3" s="2" t="s">
        <v>34</v>
      </c>
      <c r="E3" s="2" t="s">
        <v>23</v>
      </c>
      <c r="F3" s="2" t="s">
        <v>36</v>
      </c>
      <c r="G3" s="2" t="s">
        <v>35</v>
      </c>
      <c r="H3" s="2" t="s">
        <v>37</v>
      </c>
      <c r="I3" s="2" t="s">
        <v>28</v>
      </c>
    </row>
    <row r="4" spans="1:12" ht="15.5" x14ac:dyDescent="0.35">
      <c r="A4" s="15" t="s">
        <v>39</v>
      </c>
      <c r="B4" s="3">
        <v>2</v>
      </c>
      <c r="C4" s="3">
        <v>1</v>
      </c>
      <c r="D4" s="3">
        <f>+B4*C4</f>
        <v>2</v>
      </c>
      <c r="E4" s="3">
        <v>0</v>
      </c>
      <c r="F4" s="3">
        <f>+D4*E4</f>
        <v>0</v>
      </c>
      <c r="G4" s="3">
        <f>+F4*0.05</f>
        <v>0</v>
      </c>
      <c r="H4" s="3">
        <f>+F4*0.1</f>
        <v>0</v>
      </c>
      <c r="I4" s="16">
        <f t="shared" ref="I4:I8" si="0">+$L$6*F4+$L$5*G4+$L$7*H4</f>
        <v>0</v>
      </c>
      <c r="K4" s="51" t="s">
        <v>44</v>
      </c>
      <c r="L4" s="51"/>
    </row>
    <row r="5" spans="1:12" ht="15.5" x14ac:dyDescent="0.35">
      <c r="A5" s="15" t="s">
        <v>40</v>
      </c>
      <c r="B5" s="3">
        <v>2</v>
      </c>
      <c r="C5" s="3">
        <v>1</v>
      </c>
      <c r="D5" s="3">
        <f t="shared" ref="D5:D9" si="1">+B5*C5</f>
        <v>2</v>
      </c>
      <c r="E5" s="3">
        <v>0</v>
      </c>
      <c r="F5" s="3">
        <f t="shared" ref="F5:F9" si="2">+D5*E5</f>
        <v>0</v>
      </c>
      <c r="G5" s="3">
        <f t="shared" ref="G5:G9" si="3">+F5*0.05</f>
        <v>0</v>
      </c>
      <c r="H5" s="3">
        <f t="shared" ref="H5:H9" si="4">+F5*0.1</f>
        <v>0</v>
      </c>
      <c r="I5" s="16">
        <f t="shared" si="0"/>
        <v>0</v>
      </c>
      <c r="K5" s="21" t="s">
        <v>45</v>
      </c>
      <c r="L5" s="45">
        <v>70.56</v>
      </c>
    </row>
    <row r="6" spans="1:12" ht="26" x14ac:dyDescent="0.35">
      <c r="A6" s="15" t="s">
        <v>32</v>
      </c>
      <c r="B6" s="3">
        <v>2</v>
      </c>
      <c r="C6" s="3">
        <v>1</v>
      </c>
      <c r="D6" s="3">
        <f t="shared" si="1"/>
        <v>2</v>
      </c>
      <c r="E6" s="3">
        <v>0</v>
      </c>
      <c r="F6" s="3">
        <f t="shared" si="2"/>
        <v>0</v>
      </c>
      <c r="G6" s="3">
        <f t="shared" si="3"/>
        <v>0</v>
      </c>
      <c r="H6" s="3">
        <f t="shared" si="4"/>
        <v>0</v>
      </c>
      <c r="I6" s="16">
        <f t="shared" si="0"/>
        <v>0</v>
      </c>
      <c r="K6" s="21" t="s">
        <v>46</v>
      </c>
      <c r="L6" s="45">
        <v>52.37</v>
      </c>
    </row>
    <row r="7" spans="1:12" ht="15.5" x14ac:dyDescent="0.35">
      <c r="A7" s="15" t="s">
        <v>41</v>
      </c>
      <c r="B7" s="3">
        <v>4</v>
      </c>
      <c r="C7" s="3">
        <v>1</v>
      </c>
      <c r="D7" s="3">
        <f t="shared" si="1"/>
        <v>4</v>
      </c>
      <c r="E7" s="3">
        <v>0</v>
      </c>
      <c r="F7" s="3">
        <f t="shared" si="2"/>
        <v>0</v>
      </c>
      <c r="G7" s="3">
        <f t="shared" si="3"/>
        <v>0</v>
      </c>
      <c r="H7" s="3">
        <f t="shared" si="4"/>
        <v>0</v>
      </c>
      <c r="I7" s="16">
        <f t="shared" si="0"/>
        <v>0</v>
      </c>
      <c r="K7" s="21" t="s">
        <v>47</v>
      </c>
      <c r="L7" s="45">
        <v>28.34</v>
      </c>
    </row>
    <row r="8" spans="1:12" ht="15.5" x14ac:dyDescent="0.35">
      <c r="A8" s="15" t="s">
        <v>42</v>
      </c>
      <c r="B8" s="3">
        <v>8</v>
      </c>
      <c r="C8" s="3">
        <v>1</v>
      </c>
      <c r="D8" s="3">
        <f t="shared" si="1"/>
        <v>8</v>
      </c>
      <c r="E8" s="3">
        <v>0</v>
      </c>
      <c r="F8" s="3">
        <f t="shared" si="2"/>
        <v>0</v>
      </c>
      <c r="G8" s="3">
        <f t="shared" si="3"/>
        <v>0</v>
      </c>
      <c r="H8" s="3">
        <f t="shared" si="4"/>
        <v>0</v>
      </c>
      <c r="I8" s="16">
        <f t="shared" si="0"/>
        <v>0</v>
      </c>
    </row>
    <row r="9" spans="1:12" ht="15.5" x14ac:dyDescent="0.35">
      <c r="A9" s="15" t="s">
        <v>54</v>
      </c>
      <c r="B9" s="3">
        <v>6</v>
      </c>
      <c r="C9" s="3">
        <v>1</v>
      </c>
      <c r="D9" s="3">
        <f t="shared" si="1"/>
        <v>6</v>
      </c>
      <c r="E9" s="3">
        <f>ROUND(36*0.1, 0)</f>
        <v>4</v>
      </c>
      <c r="F9" s="3">
        <f t="shared" si="2"/>
        <v>24</v>
      </c>
      <c r="G9" s="3">
        <f t="shared" si="3"/>
        <v>1.2000000000000002</v>
      </c>
      <c r="H9" s="3">
        <f t="shared" si="4"/>
        <v>2.4000000000000004</v>
      </c>
      <c r="I9" s="16">
        <f>+$L$6*F9+$L$5*G9+$L$7*H9</f>
        <v>1409.568</v>
      </c>
    </row>
    <row r="10" spans="1:12" ht="15" x14ac:dyDescent="0.35">
      <c r="A10" s="19" t="s">
        <v>53</v>
      </c>
      <c r="B10" s="19"/>
      <c r="C10" s="19"/>
      <c r="D10" s="19"/>
      <c r="E10" s="19"/>
      <c r="F10" s="52">
        <f>+SUM(F4:H9)</f>
        <v>27.6</v>
      </c>
      <c r="G10" s="52"/>
      <c r="H10" s="52"/>
      <c r="I10" s="17">
        <f>ROUND(SUM(I4:I9), -1)</f>
        <v>1410</v>
      </c>
    </row>
    <row r="12" spans="1:12" ht="15.75" customHeight="1" x14ac:dyDescent="0.35">
      <c r="A12" s="12" t="s">
        <v>29</v>
      </c>
    </row>
    <row r="13" spans="1:12" ht="36" customHeight="1" x14ac:dyDescent="0.35">
      <c r="A13" s="55" t="s">
        <v>124</v>
      </c>
      <c r="B13" s="55"/>
      <c r="C13" s="55"/>
      <c r="D13" s="55"/>
      <c r="E13" s="55"/>
      <c r="F13" s="55"/>
      <c r="G13" s="55"/>
      <c r="H13" s="55"/>
      <c r="I13" s="55"/>
    </row>
    <row r="14" spans="1:12" ht="45.75" customHeight="1" x14ac:dyDescent="0.35">
      <c r="A14" s="54" t="s">
        <v>121</v>
      </c>
      <c r="B14" s="54"/>
      <c r="C14" s="54"/>
      <c r="D14" s="54"/>
      <c r="E14" s="54"/>
      <c r="F14" s="54"/>
      <c r="G14" s="54"/>
      <c r="H14" s="54"/>
      <c r="I14" s="54"/>
      <c r="J14" s="54"/>
      <c r="K14" s="54"/>
      <c r="L14" s="54"/>
    </row>
    <row r="15" spans="1:12" x14ac:dyDescent="0.35">
      <c r="A15" s="50" t="s">
        <v>43</v>
      </c>
      <c r="B15" s="50"/>
      <c r="C15" s="50"/>
      <c r="D15" s="50"/>
      <c r="E15" s="50"/>
      <c r="F15" s="50"/>
      <c r="G15" s="50"/>
      <c r="H15" s="50"/>
      <c r="I15" s="50"/>
    </row>
    <row r="16" spans="1:12" x14ac:dyDescent="0.35">
      <c r="A16" s="50" t="s">
        <v>30</v>
      </c>
      <c r="B16" s="50"/>
      <c r="C16" s="50"/>
      <c r="D16" s="50"/>
      <c r="E16" s="50"/>
      <c r="F16" s="50"/>
      <c r="G16" s="50"/>
      <c r="H16" s="50"/>
      <c r="I16" s="50"/>
    </row>
    <row r="17" spans="1:9" x14ac:dyDescent="0.35">
      <c r="A17" s="50" t="s">
        <v>52</v>
      </c>
      <c r="B17" s="50"/>
      <c r="C17" s="50"/>
      <c r="D17" s="50"/>
      <c r="E17" s="50"/>
      <c r="F17" s="50"/>
      <c r="G17" s="50"/>
      <c r="H17" s="50"/>
      <c r="I17" s="50"/>
    </row>
    <row r="18" spans="1:9" x14ac:dyDescent="0.35">
      <c r="A18" s="50" t="s">
        <v>38</v>
      </c>
      <c r="B18" s="50"/>
      <c r="C18" s="50"/>
      <c r="D18" s="50"/>
      <c r="E18" s="50"/>
      <c r="F18" s="50"/>
      <c r="G18" s="50"/>
      <c r="H18" s="50"/>
      <c r="I18" s="50"/>
    </row>
    <row r="19" spans="1:9" x14ac:dyDescent="0.35">
      <c r="A19" s="50" t="s">
        <v>109</v>
      </c>
      <c r="B19" s="50"/>
      <c r="C19" s="50"/>
      <c r="D19" s="50"/>
      <c r="E19" s="50"/>
      <c r="F19" s="50"/>
      <c r="G19" s="50"/>
      <c r="H19" s="50"/>
      <c r="I19" s="50"/>
    </row>
    <row r="20" spans="1:9" x14ac:dyDescent="0.35">
      <c r="A20" s="50" t="s">
        <v>70</v>
      </c>
      <c r="B20" s="50"/>
      <c r="C20" s="50"/>
      <c r="D20" s="50"/>
      <c r="E20" s="50"/>
      <c r="F20" s="50"/>
      <c r="G20" s="50"/>
      <c r="H20" s="50"/>
      <c r="I20" s="50"/>
    </row>
  </sheetData>
  <mergeCells count="10">
    <mergeCell ref="F10:H10"/>
    <mergeCell ref="K4:L4"/>
    <mergeCell ref="A13:I13"/>
    <mergeCell ref="A15:I15"/>
    <mergeCell ref="A14:L14"/>
    <mergeCell ref="A16:I16"/>
    <mergeCell ref="A17:I17"/>
    <mergeCell ref="A18:I18"/>
    <mergeCell ref="A19:I19"/>
    <mergeCell ref="A20:I20"/>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361A0-F7F9-4D4C-8B65-D054BE363FD1}">
  <dimension ref="B2:J43"/>
  <sheetViews>
    <sheetView workbookViewId="0">
      <selection activeCell="P10" sqref="P10"/>
    </sheetView>
  </sheetViews>
  <sheetFormatPr defaultRowHeight="14.5" x14ac:dyDescent="0.35"/>
  <cols>
    <col min="2" max="2" width="21.453125" customWidth="1"/>
    <col min="3" max="8" width="13.54296875" customWidth="1"/>
  </cols>
  <sheetData>
    <row r="2" spans="2:10" ht="15.5" x14ac:dyDescent="0.35">
      <c r="B2" s="56"/>
      <c r="C2" s="56"/>
      <c r="D2" s="56"/>
      <c r="E2" s="56"/>
      <c r="F2" s="56"/>
      <c r="G2" s="56"/>
      <c r="H2" s="56"/>
    </row>
    <row r="3" spans="2:10" ht="15" x14ac:dyDescent="0.35">
      <c r="B3" s="57" t="s">
        <v>71</v>
      </c>
      <c r="C3" s="57"/>
      <c r="D3" s="57"/>
      <c r="E3" s="57"/>
      <c r="F3" s="57"/>
      <c r="G3" s="57"/>
      <c r="H3" s="57"/>
    </row>
    <row r="4" spans="2:10" x14ac:dyDescent="0.35">
      <c r="B4" s="3" t="s">
        <v>72</v>
      </c>
      <c r="C4" s="3" t="s">
        <v>74</v>
      </c>
      <c r="D4" s="3" t="s">
        <v>75</v>
      </c>
      <c r="E4" s="3" t="s">
        <v>77</v>
      </c>
      <c r="F4" s="3" t="s">
        <v>79</v>
      </c>
      <c r="G4" s="3" t="s">
        <v>80</v>
      </c>
      <c r="H4" s="3" t="s">
        <v>82</v>
      </c>
    </row>
    <row r="5" spans="2:10" ht="41.5" x14ac:dyDescent="0.35">
      <c r="B5" s="3" t="s">
        <v>73</v>
      </c>
      <c r="C5" s="3" t="s">
        <v>128</v>
      </c>
      <c r="D5" s="3" t="s">
        <v>76</v>
      </c>
      <c r="E5" s="3" t="s">
        <v>78</v>
      </c>
      <c r="F5" s="3" t="s">
        <v>129</v>
      </c>
      <c r="G5" s="3" t="s">
        <v>81</v>
      </c>
      <c r="H5" s="3" t="s">
        <v>130</v>
      </c>
    </row>
    <row r="6" spans="2:10" x14ac:dyDescent="0.35">
      <c r="B6" s="3" t="s">
        <v>83</v>
      </c>
      <c r="C6" s="6">
        <f>5000*(708/525.4)</f>
        <v>6737.7236391320903</v>
      </c>
      <c r="D6" s="3">
        <v>0</v>
      </c>
      <c r="E6" s="6">
        <f>C6*D6</f>
        <v>0</v>
      </c>
      <c r="F6" s="6">
        <f>3009*(708/603.1)</f>
        <v>3532.3694246393629</v>
      </c>
      <c r="G6" s="3">
        <v>36</v>
      </c>
      <c r="H6" s="44">
        <f>F6*G6</f>
        <v>127165.29928701707</v>
      </c>
      <c r="J6" s="46">
        <f>ROUND(36*F6,-3)</f>
        <v>127000</v>
      </c>
    </row>
    <row r="7" spans="2:10" ht="13.15" customHeight="1" x14ac:dyDescent="0.35"/>
    <row r="8" spans="2:10" ht="31.15" customHeight="1" x14ac:dyDescent="0.35">
      <c r="B8" s="58" t="s">
        <v>125</v>
      </c>
      <c r="C8" s="58"/>
      <c r="D8" s="58"/>
      <c r="E8" s="58"/>
      <c r="F8" s="58"/>
      <c r="G8" s="58"/>
      <c r="H8" s="58"/>
    </row>
    <row r="9" spans="2:10" ht="32.5" customHeight="1" x14ac:dyDescent="0.35">
      <c r="B9" s="58" t="s">
        <v>126</v>
      </c>
      <c r="C9" s="58"/>
      <c r="D9" s="58"/>
      <c r="E9" s="58"/>
      <c r="F9" s="58"/>
      <c r="G9" s="58"/>
      <c r="H9" s="58"/>
    </row>
    <row r="10" spans="2:10" ht="15.5" x14ac:dyDescent="0.35">
      <c r="B10" s="48" t="s">
        <v>127</v>
      </c>
    </row>
    <row r="11" spans="2:10" ht="15.5" x14ac:dyDescent="0.35">
      <c r="B11" s="47"/>
      <c r="C11" s="47"/>
      <c r="D11" s="47"/>
      <c r="E11" s="47"/>
      <c r="F11" s="47"/>
      <c r="G11" s="47"/>
    </row>
    <row r="12" spans="2:10" ht="15.75" customHeight="1" x14ac:dyDescent="0.35">
      <c r="B12" s="47"/>
      <c r="C12" s="47"/>
      <c r="D12" s="47"/>
      <c r="E12" s="47"/>
      <c r="F12" s="47"/>
      <c r="G12" s="47"/>
    </row>
    <row r="28" spans="2:6" ht="15.5" x14ac:dyDescent="0.35">
      <c r="B28" s="56"/>
      <c r="C28" s="56"/>
      <c r="D28" s="56"/>
      <c r="E28" s="56"/>
      <c r="F28" s="56"/>
    </row>
    <row r="35" ht="69" customHeight="1" x14ac:dyDescent="0.35"/>
    <row r="36" ht="30.75" customHeight="1" x14ac:dyDescent="0.35"/>
    <row r="42" ht="67.5" customHeight="1" x14ac:dyDescent="0.35"/>
    <row r="43" ht="26.25" customHeight="1" x14ac:dyDescent="0.35"/>
  </sheetData>
  <mergeCells count="5">
    <mergeCell ref="B28:F28"/>
    <mergeCell ref="B2:H2"/>
    <mergeCell ref="B3:H3"/>
    <mergeCell ref="B9:H9"/>
    <mergeCell ref="B8:H8"/>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3A91E-6F6A-4BC2-BF4B-49F307AF0545}">
  <dimension ref="B2:F19"/>
  <sheetViews>
    <sheetView topLeftCell="A8" workbookViewId="0">
      <selection activeCell="G15" sqref="G15"/>
    </sheetView>
  </sheetViews>
  <sheetFormatPr defaultRowHeight="14.5" x14ac:dyDescent="0.35"/>
  <cols>
    <col min="2" max="6" width="14.1796875" customWidth="1"/>
  </cols>
  <sheetData>
    <row r="2" spans="2:6" ht="15" x14ac:dyDescent="0.35">
      <c r="B2" s="59" t="s">
        <v>94</v>
      </c>
      <c r="C2" s="59"/>
      <c r="D2" s="59"/>
      <c r="E2" s="59"/>
      <c r="F2" s="59"/>
    </row>
    <row r="3" spans="2:6" x14ac:dyDescent="0.35">
      <c r="B3" s="28" t="s">
        <v>72</v>
      </c>
      <c r="C3" s="28" t="s">
        <v>74</v>
      </c>
      <c r="D3" s="28" t="s">
        <v>75</v>
      </c>
      <c r="E3" s="28" t="s">
        <v>77</v>
      </c>
      <c r="F3" s="28" t="s">
        <v>79</v>
      </c>
    </row>
    <row r="4" spans="2:6" ht="57.5" x14ac:dyDescent="0.35">
      <c r="B4" s="28" t="s">
        <v>95</v>
      </c>
      <c r="C4" s="28" t="s">
        <v>84</v>
      </c>
      <c r="D4" s="28" t="s">
        <v>96</v>
      </c>
      <c r="E4" s="28" t="s">
        <v>97</v>
      </c>
      <c r="F4" s="28" t="s">
        <v>105</v>
      </c>
    </row>
    <row r="5" spans="2:6" x14ac:dyDescent="0.35">
      <c r="B5" s="60" t="s">
        <v>111</v>
      </c>
      <c r="C5" s="60"/>
      <c r="D5" s="60"/>
      <c r="E5" s="60"/>
      <c r="F5" s="60"/>
    </row>
    <row r="6" spans="2:6" x14ac:dyDescent="0.35">
      <c r="B6" s="29" t="s">
        <v>99</v>
      </c>
      <c r="C6" s="30">
        <v>0</v>
      </c>
      <c r="D6" s="30">
        <v>0</v>
      </c>
      <c r="E6" s="30">
        <v>0</v>
      </c>
      <c r="F6" s="30">
        <f>(C6*D6)+E6</f>
        <v>0</v>
      </c>
    </row>
    <row r="7" spans="2:6" x14ac:dyDescent="0.35">
      <c r="B7" s="29" t="s">
        <v>100</v>
      </c>
      <c r="C7" s="30">
        <v>0</v>
      </c>
      <c r="D7" s="30">
        <v>0</v>
      </c>
      <c r="E7" s="30">
        <v>0</v>
      </c>
      <c r="F7" s="30">
        <f>(C7*D7)+E7</f>
        <v>0</v>
      </c>
    </row>
    <row r="8" spans="2:6" ht="92" x14ac:dyDescent="0.35">
      <c r="B8" s="29" t="s">
        <v>101</v>
      </c>
      <c r="C8" s="30">
        <v>0</v>
      </c>
      <c r="D8" s="30">
        <v>0</v>
      </c>
      <c r="E8" s="30">
        <f>'Table 1a'!E8</f>
        <v>20</v>
      </c>
      <c r="F8" s="30">
        <f>(C8*D8)+E8</f>
        <v>20</v>
      </c>
    </row>
    <row r="9" spans="2:6" ht="34.5" x14ac:dyDescent="0.35">
      <c r="B9" s="29" t="s">
        <v>102</v>
      </c>
      <c r="C9" s="30">
        <v>0</v>
      </c>
      <c r="D9" s="30">
        <v>0</v>
      </c>
      <c r="E9" s="30">
        <f>'Table 1a'!E8</f>
        <v>20</v>
      </c>
      <c r="F9" s="30">
        <f>(C9*D9)+E9</f>
        <v>20</v>
      </c>
    </row>
    <row r="10" spans="2:6" x14ac:dyDescent="0.35">
      <c r="B10" s="61"/>
      <c r="C10" s="61"/>
      <c r="D10" s="61"/>
      <c r="E10" s="61" t="s">
        <v>103</v>
      </c>
      <c r="F10" s="61">
        <f>SUM(F6:F9)</f>
        <v>40</v>
      </c>
    </row>
    <row r="11" spans="2:6" x14ac:dyDescent="0.35">
      <c r="B11" s="61"/>
      <c r="C11" s="61"/>
      <c r="D11" s="61"/>
      <c r="E11" s="61"/>
      <c r="F11" s="61"/>
    </row>
    <row r="12" spans="2:6" x14ac:dyDescent="0.35">
      <c r="B12" s="60" t="s">
        <v>98</v>
      </c>
      <c r="C12" s="60"/>
      <c r="D12" s="60"/>
      <c r="E12" s="60"/>
      <c r="F12" s="60"/>
    </row>
    <row r="13" spans="2:6" x14ac:dyDescent="0.35">
      <c r="B13" s="29" t="s">
        <v>99</v>
      </c>
      <c r="C13" s="30">
        <v>0</v>
      </c>
      <c r="D13" s="30">
        <v>0</v>
      </c>
      <c r="E13" s="30">
        <v>0</v>
      </c>
      <c r="F13" s="30">
        <f>(C13*D13)+E13</f>
        <v>0</v>
      </c>
    </row>
    <row r="14" spans="2:6" x14ac:dyDescent="0.35">
      <c r="B14" s="29" t="s">
        <v>100</v>
      </c>
      <c r="C14" s="30">
        <v>0</v>
      </c>
      <c r="D14" s="30">
        <v>0</v>
      </c>
      <c r="E14" s="30">
        <v>0</v>
      </c>
      <c r="F14" s="30">
        <f t="shared" ref="F14:F16" si="0">(C14*D14)+E14</f>
        <v>0</v>
      </c>
    </row>
    <row r="15" spans="2:6" ht="92" x14ac:dyDescent="0.35">
      <c r="B15" s="29" t="s">
        <v>101</v>
      </c>
      <c r="C15" s="30">
        <v>0</v>
      </c>
      <c r="D15" s="30">
        <v>0</v>
      </c>
      <c r="E15" s="30">
        <f>'Table 1b'!E8</f>
        <v>16</v>
      </c>
      <c r="F15" s="30">
        <f t="shared" si="0"/>
        <v>16</v>
      </c>
    </row>
    <row r="16" spans="2:6" ht="34.5" x14ac:dyDescent="0.35">
      <c r="B16" s="29" t="s">
        <v>102</v>
      </c>
      <c r="C16" s="30">
        <v>0</v>
      </c>
      <c r="D16" s="30">
        <v>0</v>
      </c>
      <c r="E16" s="30">
        <f>'Table 1b'!E8</f>
        <v>16</v>
      </c>
      <c r="F16" s="30">
        <f t="shared" si="0"/>
        <v>16</v>
      </c>
    </row>
    <row r="17" spans="2:6" x14ac:dyDescent="0.35">
      <c r="B17" s="62"/>
      <c r="C17" s="61"/>
      <c r="D17" s="61"/>
      <c r="E17" s="61" t="s">
        <v>103</v>
      </c>
      <c r="F17" s="61">
        <f>SUM(F13:F16)</f>
        <v>32</v>
      </c>
    </row>
    <row r="18" spans="2:6" x14ac:dyDescent="0.35">
      <c r="B18" s="62"/>
      <c r="C18" s="61"/>
      <c r="D18" s="61"/>
      <c r="E18" s="61"/>
      <c r="F18" s="61"/>
    </row>
    <row r="19" spans="2:6" x14ac:dyDescent="0.35">
      <c r="B19" s="29"/>
      <c r="C19" s="30"/>
      <c r="D19" s="30"/>
      <c r="E19" s="31" t="s">
        <v>104</v>
      </c>
      <c r="F19" s="31">
        <f>F10+F17</f>
        <v>72</v>
      </c>
    </row>
  </sheetData>
  <mergeCells count="13">
    <mergeCell ref="B12:F12"/>
    <mergeCell ref="B17:B18"/>
    <mergeCell ref="C17:C18"/>
    <mergeCell ref="D17:D18"/>
    <mergeCell ref="E17:E18"/>
    <mergeCell ref="F17:F18"/>
    <mergeCell ref="B2:F2"/>
    <mergeCell ref="B5:F5"/>
    <mergeCell ref="B10:B11"/>
    <mergeCell ref="C10:C11"/>
    <mergeCell ref="D10:D11"/>
    <mergeCell ref="E10:E11"/>
    <mergeCell ref="F10:F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A1AB3-B0A5-4971-8CF4-DA3D4887B353}">
  <dimension ref="B2:G17"/>
  <sheetViews>
    <sheetView workbookViewId="0">
      <selection activeCell="D10" sqref="D10"/>
    </sheetView>
  </sheetViews>
  <sheetFormatPr defaultRowHeight="14.5" x14ac:dyDescent="0.35"/>
  <cols>
    <col min="2" max="7" width="13" customWidth="1"/>
  </cols>
  <sheetData>
    <row r="2" spans="2:7" ht="15" x14ac:dyDescent="0.35">
      <c r="B2" s="59" t="s">
        <v>84</v>
      </c>
      <c r="C2" s="59"/>
      <c r="D2" s="59"/>
      <c r="E2" s="59"/>
      <c r="F2" s="59"/>
      <c r="G2" s="59"/>
    </row>
    <row r="3" spans="2:7" ht="34.5" x14ac:dyDescent="0.35">
      <c r="B3" s="26"/>
      <c r="C3" s="64" t="s">
        <v>85</v>
      </c>
      <c r="D3" s="64"/>
      <c r="E3" s="27" t="s">
        <v>86</v>
      </c>
      <c r="F3" s="27"/>
      <c r="G3" s="27"/>
    </row>
    <row r="4" spans="2:7" x14ac:dyDescent="0.35">
      <c r="B4" s="15"/>
      <c r="C4" s="3" t="s">
        <v>72</v>
      </c>
      <c r="D4" s="3" t="s">
        <v>74</v>
      </c>
      <c r="E4" s="3" t="s">
        <v>75</v>
      </c>
      <c r="F4" s="3" t="s">
        <v>77</v>
      </c>
      <c r="G4" s="3" t="s">
        <v>79</v>
      </c>
    </row>
    <row r="5" spans="2:7" ht="78" x14ac:dyDescent="0.35">
      <c r="B5" s="3" t="s">
        <v>87</v>
      </c>
      <c r="C5" s="15" t="s">
        <v>88</v>
      </c>
      <c r="D5" s="15" t="s">
        <v>89</v>
      </c>
      <c r="E5" s="15" t="s">
        <v>90</v>
      </c>
      <c r="F5" s="15" t="s">
        <v>91</v>
      </c>
      <c r="G5" s="15" t="s">
        <v>93</v>
      </c>
    </row>
    <row r="6" spans="2:7" x14ac:dyDescent="0.35">
      <c r="B6" s="65" t="s">
        <v>98</v>
      </c>
      <c r="C6" s="65"/>
      <c r="D6" s="65"/>
      <c r="E6" s="65"/>
      <c r="F6" s="65"/>
      <c r="G6" s="65"/>
    </row>
    <row r="7" spans="2:7" x14ac:dyDescent="0.35">
      <c r="B7" s="28">
        <v>1</v>
      </c>
      <c r="C7" s="28">
        <v>0</v>
      </c>
      <c r="D7" s="28">
        <v>20</v>
      </c>
      <c r="E7" s="28">
        <v>0</v>
      </c>
      <c r="F7" s="28">
        <v>0</v>
      </c>
      <c r="G7" s="28">
        <f>C7+D7+E7-F7</f>
        <v>20</v>
      </c>
    </row>
    <row r="8" spans="2:7" x14ac:dyDescent="0.35">
      <c r="B8" s="28">
        <v>2</v>
      </c>
      <c r="C8" s="28">
        <v>0</v>
      </c>
      <c r="D8" s="28">
        <v>20</v>
      </c>
      <c r="E8" s="28">
        <v>0</v>
      </c>
      <c r="F8" s="28">
        <v>0</v>
      </c>
      <c r="G8" s="28">
        <f t="shared" ref="G8:G9" si="0">C8+D8+E8-F8</f>
        <v>20</v>
      </c>
    </row>
    <row r="9" spans="2:7" x14ac:dyDescent="0.35">
      <c r="B9" s="28">
        <v>3</v>
      </c>
      <c r="C9" s="28">
        <v>0</v>
      </c>
      <c r="D9" s="28">
        <v>20</v>
      </c>
      <c r="E9" s="28">
        <v>0</v>
      </c>
      <c r="F9" s="28">
        <v>0</v>
      </c>
      <c r="G9" s="28">
        <f t="shared" si="0"/>
        <v>20</v>
      </c>
    </row>
    <row r="10" spans="2:7" x14ac:dyDescent="0.35">
      <c r="B10" s="28" t="s">
        <v>122</v>
      </c>
      <c r="C10" s="28">
        <f>AVERAGE(C7:C9)</f>
        <v>0</v>
      </c>
      <c r="D10" s="28">
        <f t="shared" ref="D10:G10" si="1">AVERAGE(D7:D9)</f>
        <v>20</v>
      </c>
      <c r="E10" s="28">
        <f t="shared" si="1"/>
        <v>0</v>
      </c>
      <c r="F10" s="28">
        <f t="shared" si="1"/>
        <v>0</v>
      </c>
      <c r="G10" s="28">
        <f t="shared" si="1"/>
        <v>20</v>
      </c>
    </row>
    <row r="11" spans="2:7" x14ac:dyDescent="0.35">
      <c r="B11" s="65" t="s">
        <v>111</v>
      </c>
      <c r="C11" s="65"/>
      <c r="D11" s="65"/>
      <c r="E11" s="65"/>
      <c r="F11" s="65"/>
      <c r="G11" s="65"/>
    </row>
    <row r="12" spans="2:7" x14ac:dyDescent="0.35">
      <c r="B12" s="28">
        <v>1</v>
      </c>
      <c r="C12" s="28">
        <v>0</v>
      </c>
      <c r="D12" s="28">
        <v>16</v>
      </c>
      <c r="E12" s="28">
        <v>0</v>
      </c>
      <c r="F12" s="28">
        <v>0</v>
      </c>
      <c r="G12" s="28">
        <f t="shared" ref="G12:G14" si="2">C12+D12+E12+F12</f>
        <v>16</v>
      </c>
    </row>
    <row r="13" spans="2:7" x14ac:dyDescent="0.35">
      <c r="B13" s="28">
        <v>2</v>
      </c>
      <c r="C13" s="28">
        <v>0</v>
      </c>
      <c r="D13" s="28">
        <v>16</v>
      </c>
      <c r="E13" s="28">
        <v>0</v>
      </c>
      <c r="F13" s="28">
        <v>0</v>
      </c>
      <c r="G13" s="28">
        <f t="shared" si="2"/>
        <v>16</v>
      </c>
    </row>
    <row r="14" spans="2:7" x14ac:dyDescent="0.35">
      <c r="B14" s="28">
        <v>3</v>
      </c>
      <c r="C14" s="28">
        <v>0</v>
      </c>
      <c r="D14" s="28">
        <v>16</v>
      </c>
      <c r="E14" s="28">
        <v>0</v>
      </c>
      <c r="F14" s="28">
        <v>0</v>
      </c>
      <c r="G14" s="28">
        <f t="shared" si="2"/>
        <v>16</v>
      </c>
    </row>
    <row r="15" spans="2:7" x14ac:dyDescent="0.35">
      <c r="B15" s="28" t="s">
        <v>122</v>
      </c>
      <c r="C15" s="28">
        <f>AVERAGE(C12:C14)</f>
        <v>0</v>
      </c>
      <c r="D15" s="28">
        <f t="shared" ref="D15" si="3">AVERAGE(D12:D14)</f>
        <v>16</v>
      </c>
      <c r="E15" s="28">
        <f t="shared" ref="E15" si="4">AVERAGE(E12:E14)</f>
        <v>0</v>
      </c>
      <c r="F15" s="28">
        <f t="shared" ref="F15" si="5">AVERAGE(F12:F14)</f>
        <v>0</v>
      </c>
      <c r="G15" s="28">
        <f t="shared" ref="G15" si="6">AVERAGE(G12:G14)</f>
        <v>16</v>
      </c>
    </row>
    <row r="16" spans="2:7" x14ac:dyDescent="0.35">
      <c r="B16" s="63"/>
      <c r="C16" s="63"/>
      <c r="D16" s="63"/>
      <c r="E16" s="63"/>
      <c r="F16" s="41" t="s">
        <v>103</v>
      </c>
      <c r="G16" s="28">
        <f>G10+G15</f>
        <v>36</v>
      </c>
    </row>
    <row r="17" spans="2:2" ht="18.5" x14ac:dyDescent="0.35">
      <c r="B17" s="25" t="s">
        <v>92</v>
      </c>
    </row>
  </sheetData>
  <mergeCells count="5">
    <mergeCell ref="B2:G2"/>
    <mergeCell ref="B16:E16"/>
    <mergeCell ref="C3:D3"/>
    <mergeCell ref="B6:G6"/>
    <mergeCell ref="B11:G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Table 1a</vt:lpstr>
      <vt:lpstr>Table 1b</vt:lpstr>
      <vt:lpstr>Table 2</vt:lpstr>
      <vt:lpstr>Capital O&amp;M</vt:lpstr>
      <vt:lpstr>Responses</vt:lpstr>
      <vt:lpstr>Respondents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Layton</dc:creator>
  <cp:lastModifiedBy>Wrigley, William</cp:lastModifiedBy>
  <dcterms:created xsi:type="dcterms:W3CDTF">2016-03-28T13:07:50Z</dcterms:created>
  <dcterms:modified xsi:type="dcterms:W3CDTF">2023-03-20T14:29:17Z</dcterms:modified>
</cp:coreProperties>
</file>