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showInkAnnotation="0" codeName="ThisWorkbook" defaultThemeVersion="124226"/>
  <xr:revisionPtr revIDLastSave="0" documentId="8_{D77ED88E-29BE-44E7-92EF-946D661FA316}" xr6:coauthVersionLast="47" xr6:coauthVersionMax="47" xr10:uidLastSave="{00000000-0000-0000-0000-000000000000}"/>
  <bookViews>
    <workbookView xWindow="-120" yWindow="-120" windowWidth="19440" windowHeight="14880" activeTab="5" xr2:uid="{00000000-000D-0000-FFFF-FFFF00000000}"/>
  </bookViews>
  <sheets>
    <sheet name="Inputs" sheetId="12" r:id="rId1"/>
    <sheet name="MemoTables" sheetId="38" r:id="rId2"/>
    <sheet name="YR1" sheetId="39" r:id="rId3"/>
    <sheet name="YR2" sheetId="41" r:id="rId4"/>
    <sheet name="YR3" sheetId="42" r:id="rId5"/>
    <sheet name="summary" sheetId="8" r:id="rId6"/>
    <sheet name="EPA_YR1" sheetId="7" r:id="rId7"/>
    <sheet name="EPA_YR2" sheetId="43" r:id="rId8"/>
    <sheet name="EPA_YR3" sheetId="44" r:id="rId9"/>
    <sheet name="EPA summary" sheetId="11" r:id="rId10"/>
  </sheets>
  <definedNames>
    <definedName name="_xlnm.Print_Area" localSheetId="9">'EPA summary'!$B$2:$I$8</definedName>
    <definedName name="_xlnm.Print_Area" localSheetId="6">EPA_YR1!$B$2:$M$48</definedName>
    <definedName name="_xlnm.Print_Area" localSheetId="7">EPA_YR2!$B$2:$M$48</definedName>
    <definedName name="_xlnm.Print_Area" localSheetId="8">EPA_YR3!$B$2:$M$48</definedName>
    <definedName name="_xlnm.Print_Area" localSheetId="5">summary!$B$1:$I$14</definedName>
    <definedName name="_xlnm.Print_Area" localSheetId="2">'YR1'!$B$2:$M$115</definedName>
    <definedName name="_xlnm.Print_Area" localSheetId="3">'YR2'!$B$2:$M$115</definedName>
    <definedName name="_xlnm.Print_Area" localSheetId="4">'YR3'!$B$2:$M$115</definedName>
    <definedName name="_xlnm.Print_Titles" localSheetId="2">'YR1'!$2:$3</definedName>
    <definedName name="_xlnm.Print_Titles" localSheetId="3">'YR2'!$2:$3</definedName>
    <definedName name="_xlnm.Print_Titles" localSheetId="4">'YR3'!$2:$3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3" i="38" l="1"/>
  <c r="F51" i="38"/>
  <c r="F52" i="38"/>
  <c r="F50" i="38"/>
  <c r="F31" i="38"/>
  <c r="F32" i="38"/>
  <c r="F33" i="38"/>
  <c r="F34" i="38"/>
  <c r="F46" i="38"/>
  <c r="F45" i="38"/>
  <c r="F44" i="38"/>
  <c r="F41" i="38"/>
  <c r="G27" i="44"/>
  <c r="G8" i="44"/>
  <c r="G37" i="43"/>
  <c r="G27" i="43"/>
  <c r="G17" i="43"/>
  <c r="I17" i="43" s="1"/>
  <c r="J17" i="43" s="1"/>
  <c r="G8" i="43"/>
  <c r="G37" i="7"/>
  <c r="G38" i="7"/>
  <c r="G34" i="7"/>
  <c r="G25" i="7"/>
  <c r="G26" i="7"/>
  <c r="I26" i="7" s="1"/>
  <c r="G27" i="7"/>
  <c r="G29" i="7"/>
  <c r="G33" i="7"/>
  <c r="G18" i="7"/>
  <c r="G20" i="7"/>
  <c r="J26" i="7" l="1"/>
  <c r="K26" i="7"/>
  <c r="L26" i="7" s="1"/>
  <c r="K17" i="43"/>
  <c r="L17" i="43" s="1"/>
  <c r="G8" i="7" l="1"/>
  <c r="F8" i="38" l="1"/>
  <c r="G83" i="42"/>
  <c r="M83" i="42" s="1"/>
  <c r="F83" i="42"/>
  <c r="G61" i="42"/>
  <c r="G26" i="44" s="1"/>
  <c r="I26" i="44" s="1"/>
  <c r="F61" i="42"/>
  <c r="G52" i="42"/>
  <c r="G17" i="44" s="1"/>
  <c r="I17" i="44" s="1"/>
  <c r="F52" i="42"/>
  <c r="F83" i="41"/>
  <c r="G61" i="41"/>
  <c r="G26" i="43" s="1"/>
  <c r="I26" i="43" s="1"/>
  <c r="F61" i="41"/>
  <c r="F52" i="41"/>
  <c r="F53" i="41"/>
  <c r="G53" i="41"/>
  <c r="G18" i="43" s="1"/>
  <c r="M90" i="39"/>
  <c r="H90" i="39"/>
  <c r="F90" i="39"/>
  <c r="G83" i="39"/>
  <c r="M83" i="39" s="1"/>
  <c r="F83" i="39"/>
  <c r="M61" i="39"/>
  <c r="F61" i="39"/>
  <c r="H61" i="39" s="1"/>
  <c r="G52" i="39"/>
  <c r="G17" i="7" s="1"/>
  <c r="I17" i="7" s="1"/>
  <c r="F52" i="39"/>
  <c r="C48" i="12"/>
  <c r="F21" i="12"/>
  <c r="C16" i="38"/>
  <c r="F15" i="38"/>
  <c r="C15" i="38"/>
  <c r="D74" i="12"/>
  <c r="F13" i="38" s="1"/>
  <c r="H13" i="38" s="1"/>
  <c r="C74" i="12"/>
  <c r="C13" i="38" s="1"/>
  <c r="E13" i="38" s="1"/>
  <c r="G37" i="44"/>
  <c r="I37" i="44" s="1"/>
  <c r="I27" i="44"/>
  <c r="I8" i="44"/>
  <c r="I39" i="44"/>
  <c r="J39" i="44" s="1"/>
  <c r="I9" i="44"/>
  <c r="B9" i="44"/>
  <c r="I6" i="44"/>
  <c r="I37" i="43"/>
  <c r="I27" i="43"/>
  <c r="K27" i="43" s="1"/>
  <c r="I18" i="7"/>
  <c r="I20" i="7"/>
  <c r="J20" i="7" s="1"/>
  <c r="I8" i="43"/>
  <c r="I39" i="43"/>
  <c r="K39" i="43" s="1"/>
  <c r="I9" i="43"/>
  <c r="K9" i="43" s="1"/>
  <c r="B9" i="43"/>
  <c r="I6" i="43"/>
  <c r="J6" i="43" s="1"/>
  <c r="I37" i="7"/>
  <c r="J37" i="7" s="1"/>
  <c r="I38" i="7"/>
  <c r="J38" i="7" s="1"/>
  <c r="G36" i="7"/>
  <c r="I36" i="7" s="1"/>
  <c r="I33" i="7"/>
  <c r="J40" i="7"/>
  <c r="J17" i="44" l="1"/>
  <c r="K17" i="44"/>
  <c r="L17" i="44"/>
  <c r="K26" i="44"/>
  <c r="J26" i="44"/>
  <c r="L26" i="44"/>
  <c r="M61" i="42"/>
  <c r="G83" i="41"/>
  <c r="M83" i="41" s="1"/>
  <c r="K26" i="43"/>
  <c r="J26" i="43"/>
  <c r="K17" i="7"/>
  <c r="J17" i="7"/>
  <c r="L17" i="7"/>
  <c r="J9" i="44"/>
  <c r="K9" i="44"/>
  <c r="L9" i="44" s="1"/>
  <c r="H83" i="42"/>
  <c r="H61" i="42"/>
  <c r="H52" i="42"/>
  <c r="M52" i="42"/>
  <c r="J40" i="44"/>
  <c r="M40" i="44" s="1"/>
  <c r="K39" i="44"/>
  <c r="L39" i="44" s="1"/>
  <c r="H83" i="41"/>
  <c r="H61" i="41"/>
  <c r="M61" i="41"/>
  <c r="H53" i="41"/>
  <c r="I53" i="41" s="1"/>
  <c r="H52" i="41"/>
  <c r="J52" i="41" s="1"/>
  <c r="M52" i="41"/>
  <c r="M53" i="41"/>
  <c r="J39" i="43"/>
  <c r="I90" i="39"/>
  <c r="K90" i="39" s="1"/>
  <c r="J90" i="39"/>
  <c r="H83" i="39"/>
  <c r="J61" i="39"/>
  <c r="I61" i="39"/>
  <c r="L61" i="39" s="1"/>
  <c r="H52" i="39"/>
  <c r="M52" i="39"/>
  <c r="J36" i="7"/>
  <c r="K36" i="7"/>
  <c r="I8" i="7"/>
  <c r="K38" i="7"/>
  <c r="L38" i="7" s="1"/>
  <c r="K37" i="7"/>
  <c r="K27" i="44"/>
  <c r="J27" i="44"/>
  <c r="K37" i="44"/>
  <c r="J37" i="44"/>
  <c r="K8" i="44"/>
  <c r="J8" i="44"/>
  <c r="J6" i="44"/>
  <c r="K6" i="44"/>
  <c r="K20" i="7"/>
  <c r="L20" i="7" s="1"/>
  <c r="J8" i="43"/>
  <c r="K8" i="43"/>
  <c r="K37" i="43"/>
  <c r="J37" i="43"/>
  <c r="J40" i="43"/>
  <c r="M40" i="43" s="1"/>
  <c r="K6" i="43"/>
  <c r="L6" i="43" s="1"/>
  <c r="J9" i="43"/>
  <c r="L9" i="43" s="1"/>
  <c r="J27" i="43"/>
  <c r="L27" i="43" s="1"/>
  <c r="J33" i="7"/>
  <c r="K33" i="7"/>
  <c r="L26" i="43" l="1"/>
  <c r="L90" i="39"/>
  <c r="K61" i="39"/>
  <c r="L6" i="44"/>
  <c r="J83" i="42"/>
  <c r="K83" i="42" s="1"/>
  <c r="I83" i="42"/>
  <c r="L83" i="42"/>
  <c r="J61" i="42"/>
  <c r="I61" i="42"/>
  <c r="L61" i="42" s="1"/>
  <c r="J52" i="42"/>
  <c r="I52" i="42"/>
  <c r="L52" i="42" s="1"/>
  <c r="L27" i="44"/>
  <c r="L8" i="44"/>
  <c r="J83" i="41"/>
  <c r="I83" i="41"/>
  <c r="J61" i="41"/>
  <c r="K61" i="41" s="1"/>
  <c r="I61" i="41"/>
  <c r="L61" i="41" s="1"/>
  <c r="J53" i="41"/>
  <c r="L53" i="41" s="1"/>
  <c r="I52" i="41"/>
  <c r="K52" i="41" s="1"/>
  <c r="L39" i="43"/>
  <c r="J83" i="39"/>
  <c r="K83" i="39" s="1"/>
  <c r="I83" i="39"/>
  <c r="J52" i="39"/>
  <c r="I52" i="39"/>
  <c r="L36" i="7"/>
  <c r="L33" i="7"/>
  <c r="L37" i="7"/>
  <c r="L37" i="44"/>
  <c r="L37" i="43"/>
  <c r="L8" i="43"/>
  <c r="K61" i="42" l="1"/>
  <c r="K83" i="41"/>
  <c r="L52" i="39"/>
  <c r="L83" i="39"/>
  <c r="K52" i="42"/>
  <c r="L83" i="41"/>
  <c r="K53" i="41"/>
  <c r="L52" i="41"/>
  <c r="K52" i="39"/>
  <c r="C14" i="8" l="1"/>
  <c r="C13" i="8"/>
  <c r="G95" i="42"/>
  <c r="M95" i="42" s="1"/>
  <c r="F95" i="42"/>
  <c r="F94" i="42"/>
  <c r="F93" i="42"/>
  <c r="F92" i="42"/>
  <c r="F91" i="42"/>
  <c r="G89" i="42"/>
  <c r="M89" i="42" s="1"/>
  <c r="F89" i="42"/>
  <c r="F88" i="42"/>
  <c r="F87" i="42"/>
  <c r="F86" i="42"/>
  <c r="F85" i="42"/>
  <c r="G84" i="42"/>
  <c r="M84" i="42" s="1"/>
  <c r="F84" i="42"/>
  <c r="F82" i="42"/>
  <c r="F81" i="42"/>
  <c r="H81" i="42" s="1"/>
  <c r="F80" i="42"/>
  <c r="F79" i="42"/>
  <c r="G38" i="44"/>
  <c r="I38" i="44" s="1"/>
  <c r="F72" i="42"/>
  <c r="M71" i="42"/>
  <c r="F71" i="42"/>
  <c r="H71" i="42" s="1"/>
  <c r="G36" i="44"/>
  <c r="I36" i="44" s="1"/>
  <c r="F70" i="42"/>
  <c r="F68" i="42"/>
  <c r="G67" i="42"/>
  <c r="G32" i="44" s="1"/>
  <c r="F67" i="42"/>
  <c r="G66" i="42"/>
  <c r="F66" i="42"/>
  <c r="G65" i="42"/>
  <c r="G30" i="44" s="1"/>
  <c r="F65" i="42"/>
  <c r="G64" i="42"/>
  <c r="G29" i="44" s="1"/>
  <c r="F64" i="42"/>
  <c r="G63" i="42"/>
  <c r="G28" i="44" s="1"/>
  <c r="F63" i="42"/>
  <c r="M62" i="42"/>
  <c r="F62" i="42"/>
  <c r="H62" i="42" s="1"/>
  <c r="G60" i="42"/>
  <c r="F60" i="42"/>
  <c r="G59" i="42"/>
  <c r="G24" i="44" s="1"/>
  <c r="F59" i="42"/>
  <c r="G58" i="42"/>
  <c r="F58" i="42"/>
  <c r="G56" i="42"/>
  <c r="F56" i="42"/>
  <c r="G55" i="42"/>
  <c r="F55" i="42"/>
  <c r="G54" i="42"/>
  <c r="F54" i="42"/>
  <c r="G53" i="42"/>
  <c r="G18" i="44" s="1"/>
  <c r="F53" i="42"/>
  <c r="G51" i="42"/>
  <c r="F51" i="42"/>
  <c r="G50" i="42"/>
  <c r="F50" i="42"/>
  <c r="G49" i="42"/>
  <c r="F49" i="42"/>
  <c r="F44" i="42"/>
  <c r="H44" i="42" s="1"/>
  <c r="J44" i="42" s="1"/>
  <c r="D44" i="42"/>
  <c r="M44" i="42" s="1"/>
  <c r="F43" i="42"/>
  <c r="H43" i="42" s="1"/>
  <c r="D43" i="42"/>
  <c r="M43" i="42" s="1"/>
  <c r="F41" i="42"/>
  <c r="H41" i="42" s="1"/>
  <c r="D41" i="42"/>
  <c r="M41" i="42" s="1"/>
  <c r="F40" i="42"/>
  <c r="H40" i="42" s="1"/>
  <c r="D40" i="42"/>
  <c r="M40" i="42" s="1"/>
  <c r="F38" i="42"/>
  <c r="H38" i="42" s="1"/>
  <c r="I38" i="42" s="1"/>
  <c r="F37" i="42"/>
  <c r="H37" i="42" s="1"/>
  <c r="F35" i="42"/>
  <c r="H35" i="42" s="1"/>
  <c r="D35" i="42"/>
  <c r="M35" i="42" s="1"/>
  <c r="F34" i="42"/>
  <c r="H34" i="42" s="1"/>
  <c r="I34" i="42" s="1"/>
  <c r="D34" i="42"/>
  <c r="M34" i="42" s="1"/>
  <c r="F32" i="42"/>
  <c r="H32" i="42" s="1"/>
  <c r="I32" i="42" s="1"/>
  <c r="F31" i="42"/>
  <c r="H31" i="42" s="1"/>
  <c r="F29" i="42"/>
  <c r="H29" i="42" s="1"/>
  <c r="F28" i="42"/>
  <c r="H28" i="42" s="1"/>
  <c r="I28" i="42" s="1"/>
  <c r="F26" i="42"/>
  <c r="H26" i="42" s="1"/>
  <c r="I26" i="42" s="1"/>
  <c r="F25" i="42"/>
  <c r="H25" i="42" s="1"/>
  <c r="F23" i="42"/>
  <c r="H23" i="42" s="1"/>
  <c r="J23" i="42" s="1"/>
  <c r="F22" i="42"/>
  <c r="H22" i="42" s="1"/>
  <c r="F20" i="42"/>
  <c r="H20" i="42" s="1"/>
  <c r="F19" i="42"/>
  <c r="H19" i="42" s="1"/>
  <c r="I19" i="42" s="1"/>
  <c r="F17" i="42"/>
  <c r="H17" i="42" s="1"/>
  <c r="I17" i="42" s="1"/>
  <c r="F16" i="42"/>
  <c r="H16" i="42" s="1"/>
  <c r="F14" i="42"/>
  <c r="H14" i="42" s="1"/>
  <c r="J14" i="42" s="1"/>
  <c r="F13" i="42"/>
  <c r="H13" i="42" s="1"/>
  <c r="I13" i="42" s="1"/>
  <c r="F11" i="42"/>
  <c r="H11" i="42" s="1"/>
  <c r="F10" i="42"/>
  <c r="H10" i="42" s="1"/>
  <c r="J10" i="42" s="1"/>
  <c r="M7" i="42"/>
  <c r="F7" i="42"/>
  <c r="H7" i="42" s="1"/>
  <c r="G89" i="41"/>
  <c r="M89" i="41" s="1"/>
  <c r="G60" i="41"/>
  <c r="G25" i="43" s="1"/>
  <c r="G95" i="41"/>
  <c r="G72" i="41"/>
  <c r="G70" i="41"/>
  <c r="G67" i="41"/>
  <c r="G66" i="41"/>
  <c r="G65" i="41"/>
  <c r="G64" i="41"/>
  <c r="M62" i="41"/>
  <c r="G59" i="41"/>
  <c r="G58" i="41"/>
  <c r="G79" i="41" s="1"/>
  <c r="M79" i="41" s="1"/>
  <c r="G56" i="41"/>
  <c r="G55" i="41"/>
  <c r="G54" i="41"/>
  <c r="I18" i="43"/>
  <c r="G51" i="41"/>
  <c r="G50" i="41"/>
  <c r="G49" i="41"/>
  <c r="G14" i="43" s="1"/>
  <c r="I14" i="43" s="1"/>
  <c r="G63" i="41"/>
  <c r="F92" i="41"/>
  <c r="M92" i="39"/>
  <c r="F92" i="39"/>
  <c r="H92" i="39" s="1"/>
  <c r="G49" i="39"/>
  <c r="G14" i="7" s="1"/>
  <c r="F95" i="41"/>
  <c r="F94" i="41"/>
  <c r="F93" i="41"/>
  <c r="F91" i="41"/>
  <c r="F89" i="41"/>
  <c r="F88" i="41"/>
  <c r="F87" i="41"/>
  <c r="F86" i="41"/>
  <c r="F85" i="41"/>
  <c r="F84" i="41"/>
  <c r="F82" i="41"/>
  <c r="F81" i="41"/>
  <c r="F80" i="41"/>
  <c r="F79" i="41"/>
  <c r="F72" i="41"/>
  <c r="M71" i="41"/>
  <c r="F71" i="41"/>
  <c r="H71" i="41" s="1"/>
  <c r="F70" i="41"/>
  <c r="F68" i="41"/>
  <c r="F67" i="41"/>
  <c r="F66" i="41"/>
  <c r="F65" i="41"/>
  <c r="F64" i="41"/>
  <c r="F63" i="41"/>
  <c r="F62" i="41"/>
  <c r="F60" i="41"/>
  <c r="F59" i="41"/>
  <c r="F58" i="41"/>
  <c r="F56" i="41"/>
  <c r="F55" i="41"/>
  <c r="F54" i="41"/>
  <c r="F51" i="41"/>
  <c r="F50" i="41"/>
  <c r="F49" i="41"/>
  <c r="F44" i="41"/>
  <c r="H44" i="41" s="1"/>
  <c r="D44" i="41"/>
  <c r="M44" i="41" s="1"/>
  <c r="F43" i="41"/>
  <c r="H43" i="41" s="1"/>
  <c r="D43" i="41"/>
  <c r="M43" i="41" s="1"/>
  <c r="F41" i="41"/>
  <c r="H41" i="41" s="1"/>
  <c r="D41" i="41"/>
  <c r="M41" i="41" s="1"/>
  <c r="F40" i="41"/>
  <c r="H40" i="41" s="1"/>
  <c r="D40" i="41"/>
  <c r="M40" i="41" s="1"/>
  <c r="F38" i="41"/>
  <c r="H38" i="41" s="1"/>
  <c r="F37" i="41"/>
  <c r="H37" i="41" s="1"/>
  <c r="F35" i="41"/>
  <c r="H35" i="41" s="1"/>
  <c r="I35" i="41" s="1"/>
  <c r="D35" i="41"/>
  <c r="M35" i="41" s="1"/>
  <c r="F34" i="41"/>
  <c r="H34" i="41" s="1"/>
  <c r="D34" i="41"/>
  <c r="M34" i="41" s="1"/>
  <c r="F32" i="41"/>
  <c r="H32" i="41" s="1"/>
  <c r="I32" i="41" s="1"/>
  <c r="F31" i="41"/>
  <c r="H31" i="41" s="1"/>
  <c r="F29" i="41"/>
  <c r="H29" i="41" s="1"/>
  <c r="F28" i="41"/>
  <c r="H28" i="41" s="1"/>
  <c r="F26" i="41"/>
  <c r="H26" i="41" s="1"/>
  <c r="F25" i="41"/>
  <c r="H25" i="41" s="1"/>
  <c r="F23" i="41"/>
  <c r="H23" i="41" s="1"/>
  <c r="F22" i="41"/>
  <c r="H22" i="41" s="1"/>
  <c r="F20" i="41"/>
  <c r="H20" i="41" s="1"/>
  <c r="I20" i="41" s="1"/>
  <c r="F19" i="41"/>
  <c r="H19" i="41" s="1"/>
  <c r="F17" i="41"/>
  <c r="H17" i="41" s="1"/>
  <c r="F16" i="41"/>
  <c r="H16" i="41" s="1"/>
  <c r="F14" i="41"/>
  <c r="H14" i="41" s="1"/>
  <c r="I14" i="41" s="1"/>
  <c r="F13" i="41"/>
  <c r="H13" i="41" s="1"/>
  <c r="F11" i="41"/>
  <c r="H11" i="41" s="1"/>
  <c r="I11" i="41" s="1"/>
  <c r="F10" i="41"/>
  <c r="H10" i="41" s="1"/>
  <c r="M7" i="41"/>
  <c r="F7" i="41"/>
  <c r="H7" i="41" s="1"/>
  <c r="G94" i="39"/>
  <c r="F94" i="39"/>
  <c r="M93" i="39"/>
  <c r="F93" i="39"/>
  <c r="M91" i="39"/>
  <c r="F91" i="39"/>
  <c r="H91" i="39" s="1"/>
  <c r="M89" i="39"/>
  <c r="F89" i="39"/>
  <c r="H89" i="39" s="1"/>
  <c r="M88" i="39"/>
  <c r="F88" i="39"/>
  <c r="H88" i="39" s="1"/>
  <c r="M79" i="39"/>
  <c r="F79" i="39"/>
  <c r="H79" i="39" s="1"/>
  <c r="M72" i="39"/>
  <c r="F72" i="39"/>
  <c r="H72" i="39" s="1"/>
  <c r="M71" i="39"/>
  <c r="F71" i="39"/>
  <c r="H71" i="39" s="1"/>
  <c r="M70" i="39"/>
  <c r="F70" i="39"/>
  <c r="H70" i="39" s="1"/>
  <c r="M68" i="39"/>
  <c r="F68" i="39"/>
  <c r="H68" i="39" s="1"/>
  <c r="G66" i="39"/>
  <c r="G31" i="7" s="1"/>
  <c r="F66" i="39"/>
  <c r="G65" i="39"/>
  <c r="G30" i="7" s="1"/>
  <c r="F65" i="39"/>
  <c r="M64" i="39"/>
  <c r="F64" i="39"/>
  <c r="F55" i="39"/>
  <c r="G54" i="39"/>
  <c r="G19" i="7" s="1"/>
  <c r="F54" i="39"/>
  <c r="F53" i="39"/>
  <c r="G51" i="39"/>
  <c r="G16" i="7" s="1"/>
  <c r="F51" i="39"/>
  <c r="D43" i="39"/>
  <c r="D41" i="39"/>
  <c r="D40" i="39"/>
  <c r="F38" i="39"/>
  <c r="H38" i="39" s="1"/>
  <c r="F37" i="39"/>
  <c r="H37" i="39" s="1"/>
  <c r="F35" i="39"/>
  <c r="H35" i="39" s="1"/>
  <c r="F34" i="39"/>
  <c r="H34" i="39" s="1"/>
  <c r="F32" i="39"/>
  <c r="H32" i="39" s="1"/>
  <c r="F31" i="39"/>
  <c r="H31" i="39" s="1"/>
  <c r="F29" i="39"/>
  <c r="H29" i="39" s="1"/>
  <c r="F28" i="39"/>
  <c r="H28" i="39" s="1"/>
  <c r="F26" i="39"/>
  <c r="H26" i="39" s="1"/>
  <c r="F25" i="39"/>
  <c r="H25" i="39" s="1"/>
  <c r="F23" i="39"/>
  <c r="H23" i="39" s="1"/>
  <c r="F22" i="39"/>
  <c r="H22" i="39" s="1"/>
  <c r="F20" i="39"/>
  <c r="H20" i="39" s="1"/>
  <c r="F19" i="39"/>
  <c r="H19" i="39" s="1"/>
  <c r="D35" i="39"/>
  <c r="M35" i="39" s="1"/>
  <c r="D34" i="39"/>
  <c r="M34" i="39" s="1"/>
  <c r="G25" i="44" l="1"/>
  <c r="I25" i="44" s="1"/>
  <c r="M50" i="42"/>
  <c r="G15" i="44"/>
  <c r="M55" i="42"/>
  <c r="G20" i="44"/>
  <c r="I20" i="44" s="1"/>
  <c r="G16" i="44"/>
  <c r="I16" i="44" s="1"/>
  <c r="I7" i="42"/>
  <c r="G31" i="44"/>
  <c r="I31" i="44" s="1"/>
  <c r="G19" i="44"/>
  <c r="I19" i="44" s="1"/>
  <c r="G21" i="44"/>
  <c r="I21" i="44" s="1"/>
  <c r="G19" i="43"/>
  <c r="I19" i="43" s="1"/>
  <c r="K19" i="43" s="1"/>
  <c r="G20" i="43"/>
  <c r="I20" i="43" s="1"/>
  <c r="G32" i="43"/>
  <c r="I32" i="43" s="1"/>
  <c r="G85" i="41"/>
  <c r="G21" i="43"/>
  <c r="I21" i="43" s="1"/>
  <c r="I15" i="43"/>
  <c r="J15" i="43" s="1"/>
  <c r="G15" i="43"/>
  <c r="G16" i="43"/>
  <c r="I16" i="43" s="1"/>
  <c r="G30" i="43"/>
  <c r="I30" i="43" s="1"/>
  <c r="G31" i="43"/>
  <c r="I31" i="43" s="1"/>
  <c r="I28" i="43"/>
  <c r="J28" i="43" s="1"/>
  <c r="G28" i="43"/>
  <c r="G94" i="41"/>
  <c r="G38" i="43"/>
  <c r="I38" i="43" s="1"/>
  <c r="G29" i="43"/>
  <c r="I29" i="43" s="1"/>
  <c r="G24" i="43"/>
  <c r="I24" i="43" s="1"/>
  <c r="M54" i="42"/>
  <c r="H58" i="42"/>
  <c r="I58" i="42" s="1"/>
  <c r="J43" i="42"/>
  <c r="I43" i="42"/>
  <c r="G87" i="42"/>
  <c r="H87" i="42" s="1"/>
  <c r="I29" i="44"/>
  <c r="J36" i="44"/>
  <c r="K36" i="44"/>
  <c r="J7" i="42"/>
  <c r="L7" i="42" s="1"/>
  <c r="G86" i="42"/>
  <c r="G34" i="44" s="1"/>
  <c r="I34" i="44" s="1"/>
  <c r="G23" i="44"/>
  <c r="I23" i="44" s="1"/>
  <c r="I30" i="44"/>
  <c r="M49" i="42"/>
  <c r="H53" i="42"/>
  <c r="J53" i="42" s="1"/>
  <c r="I18" i="44"/>
  <c r="M58" i="42"/>
  <c r="H65" i="42"/>
  <c r="I65" i="42" s="1"/>
  <c r="G79" i="42"/>
  <c r="M79" i="42" s="1"/>
  <c r="H54" i="42"/>
  <c r="I54" i="42" s="1"/>
  <c r="M65" i="42"/>
  <c r="H49" i="42"/>
  <c r="I49" i="42" s="1"/>
  <c r="G14" i="44"/>
  <c r="I14" i="44" s="1"/>
  <c r="I28" i="44"/>
  <c r="M67" i="42"/>
  <c r="I32" i="44"/>
  <c r="I44" i="42"/>
  <c r="L44" i="42" s="1"/>
  <c r="I15" i="44"/>
  <c r="I24" i="44"/>
  <c r="H64" i="42"/>
  <c r="J64" i="42" s="1"/>
  <c r="K38" i="44"/>
  <c r="J38" i="44"/>
  <c r="H89" i="41"/>
  <c r="I89" i="41" s="1"/>
  <c r="M63" i="41"/>
  <c r="M50" i="41"/>
  <c r="G87" i="41"/>
  <c r="M87" i="41" s="1"/>
  <c r="K18" i="43"/>
  <c r="J18" i="43"/>
  <c r="G88" i="41"/>
  <c r="M88" i="41" s="1"/>
  <c r="G80" i="41"/>
  <c r="M80" i="41" s="1"/>
  <c r="G91" i="41"/>
  <c r="M91" i="41" s="1"/>
  <c r="I25" i="43"/>
  <c r="G82" i="41"/>
  <c r="M82" i="41" s="1"/>
  <c r="G93" i="41"/>
  <c r="H93" i="41" s="1"/>
  <c r="K14" i="43"/>
  <c r="J14" i="43"/>
  <c r="G23" i="43"/>
  <c r="I23" i="43" s="1"/>
  <c r="G36" i="43"/>
  <c r="I36" i="43" s="1"/>
  <c r="K15" i="43"/>
  <c r="H72" i="41"/>
  <c r="J72" i="41" s="1"/>
  <c r="G86" i="41"/>
  <c r="H86" i="41" s="1"/>
  <c r="I19" i="7"/>
  <c r="I31" i="7"/>
  <c r="M65" i="39"/>
  <c r="G68" i="41"/>
  <c r="G33" i="43" s="1"/>
  <c r="H55" i="42"/>
  <c r="J55" i="42" s="1"/>
  <c r="M64" i="42"/>
  <c r="I14" i="42"/>
  <c r="L14" i="42" s="1"/>
  <c r="H59" i="42"/>
  <c r="I59" i="42" s="1"/>
  <c r="M59" i="42"/>
  <c r="J13" i="42"/>
  <c r="L13" i="42" s="1"/>
  <c r="G80" i="42"/>
  <c r="H80" i="42" s="1"/>
  <c r="H50" i="42"/>
  <c r="I50" i="42" s="1"/>
  <c r="I81" i="42"/>
  <c r="I23" i="42"/>
  <c r="L23" i="42" s="1"/>
  <c r="J29" i="42"/>
  <c r="J35" i="42"/>
  <c r="J41" i="42"/>
  <c r="J81" i="42"/>
  <c r="H89" i="42"/>
  <c r="I29" i="42"/>
  <c r="I35" i="42"/>
  <c r="I41" i="42"/>
  <c r="H72" i="42"/>
  <c r="J22" i="42"/>
  <c r="J17" i="42"/>
  <c r="K17" i="42" s="1"/>
  <c r="J20" i="42"/>
  <c r="I10" i="42"/>
  <c r="K10" i="42" s="1"/>
  <c r="I20" i="42"/>
  <c r="J26" i="42"/>
  <c r="K26" i="42" s="1"/>
  <c r="J32" i="42"/>
  <c r="L32" i="42" s="1"/>
  <c r="J38" i="42"/>
  <c r="L38" i="42" s="1"/>
  <c r="J62" i="42"/>
  <c r="I62" i="42"/>
  <c r="J49" i="42"/>
  <c r="L49" i="42" s="1"/>
  <c r="H70" i="42"/>
  <c r="M70" i="42"/>
  <c r="J16" i="42"/>
  <c r="J25" i="42"/>
  <c r="J31" i="42"/>
  <c r="J37" i="42"/>
  <c r="J40" i="42"/>
  <c r="I25" i="42"/>
  <c r="I31" i="42"/>
  <c r="I37" i="42"/>
  <c r="I40" i="42"/>
  <c r="M56" i="42"/>
  <c r="G85" i="42"/>
  <c r="H56" i="42"/>
  <c r="H63" i="42"/>
  <c r="J19" i="42"/>
  <c r="K19" i="42" s="1"/>
  <c r="M66" i="42"/>
  <c r="G91" i="42"/>
  <c r="H66" i="42"/>
  <c r="I16" i="42"/>
  <c r="I22" i="42"/>
  <c r="J28" i="42"/>
  <c r="L28" i="42" s="1"/>
  <c r="J34" i="42"/>
  <c r="K34" i="42" s="1"/>
  <c r="H51" i="42"/>
  <c r="M51" i="42"/>
  <c r="M86" i="42"/>
  <c r="J71" i="42"/>
  <c r="I71" i="42"/>
  <c r="H84" i="42"/>
  <c r="I11" i="42"/>
  <c r="J11" i="42"/>
  <c r="G82" i="42"/>
  <c r="H60" i="42"/>
  <c r="M60" i="42"/>
  <c r="H95" i="42"/>
  <c r="H67" i="42"/>
  <c r="M53" i="42"/>
  <c r="M63" i="42"/>
  <c r="G68" i="42"/>
  <c r="M72" i="42"/>
  <c r="M81" i="42"/>
  <c r="G88" i="42"/>
  <c r="G93" i="42"/>
  <c r="G94" i="42"/>
  <c r="H60" i="41"/>
  <c r="I60" i="41" s="1"/>
  <c r="M60" i="41"/>
  <c r="M72" i="41"/>
  <c r="H70" i="41"/>
  <c r="J70" i="41" s="1"/>
  <c r="M70" i="41"/>
  <c r="H62" i="41"/>
  <c r="I62" i="41" s="1"/>
  <c r="G84" i="41"/>
  <c r="M84" i="41" s="1"/>
  <c r="H56" i="41"/>
  <c r="J56" i="41" s="1"/>
  <c r="H59" i="41"/>
  <c r="I59" i="41" s="1"/>
  <c r="H67" i="41"/>
  <c r="J67" i="41" s="1"/>
  <c r="J92" i="39"/>
  <c r="I92" i="39"/>
  <c r="J71" i="41"/>
  <c r="I71" i="41"/>
  <c r="H55" i="41"/>
  <c r="M66" i="41"/>
  <c r="H81" i="41"/>
  <c r="M67" i="41"/>
  <c r="H79" i="41"/>
  <c r="M81" i="41"/>
  <c r="M64" i="41"/>
  <c r="H54" i="41"/>
  <c r="I54" i="41" s="1"/>
  <c r="H94" i="39"/>
  <c r="I94" i="39" s="1"/>
  <c r="H66" i="41"/>
  <c r="I66" i="41" s="1"/>
  <c r="M65" i="41"/>
  <c r="H63" i="41"/>
  <c r="J63" i="41" s="1"/>
  <c r="M55" i="41"/>
  <c r="M54" i="41"/>
  <c r="H58" i="41"/>
  <c r="M94" i="39"/>
  <c r="J43" i="41"/>
  <c r="I43" i="41"/>
  <c r="J19" i="41"/>
  <c r="I19" i="41"/>
  <c r="J28" i="41"/>
  <c r="I28" i="41"/>
  <c r="J38" i="41"/>
  <c r="I38" i="41"/>
  <c r="J44" i="41"/>
  <c r="I44" i="41"/>
  <c r="J13" i="41"/>
  <c r="I13" i="41"/>
  <c r="J22" i="41"/>
  <c r="I22" i="41"/>
  <c r="J10" i="41"/>
  <c r="I10" i="41"/>
  <c r="J34" i="41"/>
  <c r="I34" i="41"/>
  <c r="J16" i="41"/>
  <c r="I16" i="41"/>
  <c r="J25" i="41"/>
  <c r="I25" i="41"/>
  <c r="J40" i="41"/>
  <c r="I40" i="41"/>
  <c r="J37" i="41"/>
  <c r="I37" i="41"/>
  <c r="J31" i="41"/>
  <c r="I31" i="41"/>
  <c r="J41" i="41"/>
  <c r="I41" i="41"/>
  <c r="J7" i="41"/>
  <c r="J17" i="41"/>
  <c r="J23" i="41"/>
  <c r="J29" i="41"/>
  <c r="I7" i="41"/>
  <c r="I29" i="41"/>
  <c r="H51" i="41"/>
  <c r="M94" i="41"/>
  <c r="H94" i="41"/>
  <c r="H85" i="41"/>
  <c r="M85" i="41"/>
  <c r="J20" i="41"/>
  <c r="L20" i="41" s="1"/>
  <c r="J26" i="41"/>
  <c r="I23" i="41"/>
  <c r="M49" i="41"/>
  <c r="H49" i="41"/>
  <c r="M51" i="41"/>
  <c r="M59" i="41"/>
  <c r="H64" i="41"/>
  <c r="M95" i="41"/>
  <c r="H95" i="41"/>
  <c r="J11" i="41"/>
  <c r="K11" i="41" s="1"/>
  <c r="J35" i="41"/>
  <c r="K35" i="41" s="1"/>
  <c r="I26" i="41"/>
  <c r="H50" i="41"/>
  <c r="J14" i="41"/>
  <c r="L14" i="41" s="1"/>
  <c r="J32" i="41"/>
  <c r="L32" i="41" s="1"/>
  <c r="I17" i="41"/>
  <c r="H65" i="41"/>
  <c r="M56" i="41"/>
  <c r="M58" i="41"/>
  <c r="H93" i="39"/>
  <c r="J91" i="39"/>
  <c r="I91" i="39"/>
  <c r="I89" i="39"/>
  <c r="J89" i="39"/>
  <c r="I88" i="39"/>
  <c r="J88" i="39"/>
  <c r="I79" i="39"/>
  <c r="J79" i="39"/>
  <c r="H64" i="39"/>
  <c r="I64" i="39" s="1"/>
  <c r="J72" i="39"/>
  <c r="I72" i="39"/>
  <c r="J71" i="39"/>
  <c r="I71" i="39"/>
  <c r="J70" i="39"/>
  <c r="I70" i="39"/>
  <c r="I68" i="39"/>
  <c r="J68" i="39"/>
  <c r="H66" i="39"/>
  <c r="M66" i="39"/>
  <c r="H65" i="39"/>
  <c r="M55" i="39"/>
  <c r="H55" i="39"/>
  <c r="H54" i="39"/>
  <c r="M54" i="39"/>
  <c r="H53" i="39"/>
  <c r="M53" i="39"/>
  <c r="H51" i="39"/>
  <c r="M51" i="39"/>
  <c r="J38" i="39"/>
  <c r="I38" i="39"/>
  <c r="J37" i="39"/>
  <c r="I37" i="39"/>
  <c r="J35" i="39"/>
  <c r="I35" i="39"/>
  <c r="J34" i="39"/>
  <c r="I34" i="39"/>
  <c r="J32" i="39"/>
  <c r="I32" i="39"/>
  <c r="J31" i="39"/>
  <c r="I31" i="39"/>
  <c r="J29" i="39"/>
  <c r="I29" i="39"/>
  <c r="J28" i="39"/>
  <c r="I28" i="39"/>
  <c r="J26" i="39"/>
  <c r="I26" i="39"/>
  <c r="J25" i="39"/>
  <c r="I25" i="39"/>
  <c r="J23" i="39"/>
  <c r="I23" i="39"/>
  <c r="J22" i="39"/>
  <c r="I22" i="39"/>
  <c r="I19" i="39"/>
  <c r="J19" i="39"/>
  <c r="I20" i="39"/>
  <c r="J20" i="39"/>
  <c r="K13" i="12"/>
  <c r="D67" i="12"/>
  <c r="C67" i="12"/>
  <c r="D61" i="12"/>
  <c r="C61" i="12"/>
  <c r="D55" i="12"/>
  <c r="C55" i="12"/>
  <c r="D49" i="12"/>
  <c r="C49" i="12"/>
  <c r="D43" i="12"/>
  <c r="D29" i="12"/>
  <c r="C29" i="12"/>
  <c r="F11" i="12"/>
  <c r="C11" i="12" s="1"/>
  <c r="K7" i="12"/>
  <c r="L7" i="12" s="1"/>
  <c r="K6" i="12"/>
  <c r="L6" i="12" s="1"/>
  <c r="K5" i="12"/>
  <c r="L5" i="12" s="1"/>
  <c r="K4" i="12"/>
  <c r="L4" i="12" s="1"/>
  <c r="K3" i="12"/>
  <c r="L3" i="12" s="1"/>
  <c r="J31" i="44" l="1"/>
  <c r="K31" i="44"/>
  <c r="J25" i="44"/>
  <c r="K25" i="44"/>
  <c r="L25" i="44" s="1"/>
  <c r="K24" i="43"/>
  <c r="J24" i="43"/>
  <c r="K28" i="43"/>
  <c r="J16" i="44"/>
  <c r="L16" i="44" s="1"/>
  <c r="K16" i="44"/>
  <c r="J21" i="44"/>
  <c r="K21" i="44"/>
  <c r="K19" i="44"/>
  <c r="J19" i="44"/>
  <c r="G33" i="44"/>
  <c r="I33" i="44" s="1"/>
  <c r="J29" i="43"/>
  <c r="K29" i="43"/>
  <c r="J32" i="43"/>
  <c r="K32" i="43"/>
  <c r="L32" i="43" s="1"/>
  <c r="K31" i="43"/>
  <c r="J31" i="43"/>
  <c r="L31" i="43" s="1"/>
  <c r="K20" i="43"/>
  <c r="J20" i="43"/>
  <c r="J30" i="43"/>
  <c r="K30" i="43"/>
  <c r="K16" i="43"/>
  <c r="J16" i="43"/>
  <c r="L16" i="43" s="1"/>
  <c r="J19" i="43"/>
  <c r="L19" i="43" s="1"/>
  <c r="H79" i="42"/>
  <c r="L20" i="42"/>
  <c r="I53" i="42"/>
  <c r="K53" i="42" s="1"/>
  <c r="L43" i="42"/>
  <c r="L16" i="42"/>
  <c r="L31" i="42"/>
  <c r="L40" i="42"/>
  <c r="L37" i="42"/>
  <c r="J58" i="42"/>
  <c r="K58" i="42" s="1"/>
  <c r="K7" i="42"/>
  <c r="J65" i="42"/>
  <c r="K65" i="42" s="1"/>
  <c r="L29" i="42"/>
  <c r="K31" i="42"/>
  <c r="L71" i="42"/>
  <c r="K62" i="42"/>
  <c r="L41" i="42"/>
  <c r="L21" i="44"/>
  <c r="L11" i="42"/>
  <c r="J50" i="42"/>
  <c r="L50" i="42" s="1"/>
  <c r="K13" i="42"/>
  <c r="L38" i="44"/>
  <c r="K44" i="42"/>
  <c r="K29" i="44"/>
  <c r="J29" i="44"/>
  <c r="I64" i="42"/>
  <c r="K64" i="42" s="1"/>
  <c r="J23" i="44"/>
  <c r="K23" i="44"/>
  <c r="K34" i="44"/>
  <c r="J34" i="44"/>
  <c r="H86" i="42"/>
  <c r="J86" i="42" s="1"/>
  <c r="J54" i="42"/>
  <c r="L54" i="42" s="1"/>
  <c r="M87" i="42"/>
  <c r="K28" i="44"/>
  <c r="J28" i="44"/>
  <c r="J18" i="44"/>
  <c r="K18" i="44"/>
  <c r="K24" i="44"/>
  <c r="J24" i="44"/>
  <c r="K15" i="44"/>
  <c r="J15" i="44"/>
  <c r="K32" i="42"/>
  <c r="K14" i="44"/>
  <c r="J14" i="44"/>
  <c r="L36" i="44"/>
  <c r="J30" i="44"/>
  <c r="K30" i="44"/>
  <c r="L62" i="42"/>
  <c r="K37" i="42"/>
  <c r="L17" i="42"/>
  <c r="I55" i="42"/>
  <c r="K29" i="42"/>
  <c r="K32" i="44"/>
  <c r="J32" i="44"/>
  <c r="L19" i="42"/>
  <c r="L25" i="42"/>
  <c r="M80" i="42"/>
  <c r="L10" i="42"/>
  <c r="L81" i="42"/>
  <c r="L31" i="44"/>
  <c r="K43" i="42"/>
  <c r="L28" i="43"/>
  <c r="L24" i="43"/>
  <c r="J89" i="41"/>
  <c r="K89" i="41" s="1"/>
  <c r="L41" i="41"/>
  <c r="J59" i="41"/>
  <c r="K59" i="41" s="1"/>
  <c r="M93" i="41"/>
  <c r="H88" i="41"/>
  <c r="I88" i="41" s="1"/>
  <c r="L15" i="43"/>
  <c r="H82" i="41"/>
  <c r="J82" i="41" s="1"/>
  <c r="K26" i="41"/>
  <c r="I70" i="41"/>
  <c r="L70" i="41" s="1"/>
  <c r="L18" i="43"/>
  <c r="L11" i="41"/>
  <c r="H84" i="41"/>
  <c r="I84" i="41" s="1"/>
  <c r="H87" i="41"/>
  <c r="J87" i="41" s="1"/>
  <c r="L30" i="43"/>
  <c r="J66" i="41"/>
  <c r="L66" i="41" s="1"/>
  <c r="J60" i="41"/>
  <c r="L60" i="41" s="1"/>
  <c r="K20" i="41"/>
  <c r="L40" i="41"/>
  <c r="L71" i="41"/>
  <c r="K23" i="43"/>
  <c r="J23" i="43"/>
  <c r="J21" i="43"/>
  <c r="K21" i="43"/>
  <c r="I72" i="41"/>
  <c r="L72" i="41" s="1"/>
  <c r="J36" i="43"/>
  <c r="K36" i="43"/>
  <c r="K31" i="41"/>
  <c r="H91" i="41"/>
  <c r="L14" i="43"/>
  <c r="J25" i="43"/>
  <c r="K25" i="43"/>
  <c r="M86" i="41"/>
  <c r="G34" i="43"/>
  <c r="I34" i="43" s="1"/>
  <c r="K23" i="41"/>
  <c r="H80" i="41"/>
  <c r="J80" i="41" s="1"/>
  <c r="L26" i="41"/>
  <c r="J38" i="43"/>
  <c r="K38" i="43"/>
  <c r="L92" i="39"/>
  <c r="K31" i="7"/>
  <c r="J31" i="7"/>
  <c r="J19" i="7"/>
  <c r="K19" i="7"/>
  <c r="D38" i="39"/>
  <c r="M38" i="39" s="1"/>
  <c r="F14" i="38"/>
  <c r="H14" i="38" s="1"/>
  <c r="D38" i="41"/>
  <c r="M38" i="41" s="1"/>
  <c r="D38" i="42"/>
  <c r="M38" i="42" s="1"/>
  <c r="J20" i="44"/>
  <c r="K20" i="44"/>
  <c r="I55" i="41"/>
  <c r="I33" i="43"/>
  <c r="G92" i="41"/>
  <c r="D11" i="8"/>
  <c r="M68" i="41"/>
  <c r="H68" i="41"/>
  <c r="H73" i="41" s="1"/>
  <c r="D31" i="39"/>
  <c r="M31" i="39" s="1"/>
  <c r="C12" i="38"/>
  <c r="E12" i="38" s="1"/>
  <c r="D31" i="41"/>
  <c r="M31" i="41" s="1"/>
  <c r="D31" i="42"/>
  <c r="M31" i="42" s="1"/>
  <c r="D32" i="39"/>
  <c r="M32" i="39" s="1"/>
  <c r="F12" i="38"/>
  <c r="H12" i="38" s="1"/>
  <c r="D32" i="42"/>
  <c r="M32" i="42" s="1"/>
  <c r="D32" i="41"/>
  <c r="M32" i="41" s="1"/>
  <c r="D29" i="39"/>
  <c r="M29" i="39" s="1"/>
  <c r="F11" i="38"/>
  <c r="H11" i="38" s="1"/>
  <c r="D29" i="42"/>
  <c r="M29" i="42" s="1"/>
  <c r="D29" i="41"/>
  <c r="M29" i="41" s="1"/>
  <c r="D28" i="39"/>
  <c r="M28" i="39" s="1"/>
  <c r="C11" i="38"/>
  <c r="E11" i="38" s="1"/>
  <c r="D28" i="42"/>
  <c r="M28" i="42" s="1"/>
  <c r="D28" i="41"/>
  <c r="M28" i="41" s="1"/>
  <c r="D26" i="39"/>
  <c r="M26" i="39" s="1"/>
  <c r="F10" i="38"/>
  <c r="H10" i="38" s="1"/>
  <c r="D26" i="41"/>
  <c r="M26" i="41" s="1"/>
  <c r="D26" i="42"/>
  <c r="M26" i="42" s="1"/>
  <c r="D25" i="39"/>
  <c r="M25" i="39" s="1"/>
  <c r="C10" i="38"/>
  <c r="E10" i="38" s="1"/>
  <c r="D25" i="42"/>
  <c r="M25" i="42" s="1"/>
  <c r="D25" i="41"/>
  <c r="M25" i="41" s="1"/>
  <c r="D23" i="39"/>
  <c r="M23" i="39" s="1"/>
  <c r="F9" i="38"/>
  <c r="H9" i="38" s="1"/>
  <c r="D23" i="42"/>
  <c r="M23" i="42" s="1"/>
  <c r="D23" i="41"/>
  <c r="M23" i="41" s="1"/>
  <c r="D22" i="39"/>
  <c r="M22" i="39" s="1"/>
  <c r="C9" i="38"/>
  <c r="E9" i="38" s="1"/>
  <c r="D22" i="42"/>
  <c r="M22" i="42" s="1"/>
  <c r="D22" i="41"/>
  <c r="M22" i="41" s="1"/>
  <c r="D20" i="39"/>
  <c r="M20" i="39" s="1"/>
  <c r="H8" i="38"/>
  <c r="D20" i="41"/>
  <c r="M20" i="41" s="1"/>
  <c r="D20" i="42"/>
  <c r="M20" i="42" s="1"/>
  <c r="I81" i="41"/>
  <c r="L35" i="42"/>
  <c r="L34" i="42"/>
  <c r="L26" i="42"/>
  <c r="K23" i="42"/>
  <c r="L22" i="42"/>
  <c r="K81" i="42"/>
  <c r="K16" i="42"/>
  <c r="K14" i="42"/>
  <c r="J59" i="42"/>
  <c r="K59" i="42" s="1"/>
  <c r="K49" i="42"/>
  <c r="I63" i="42"/>
  <c r="J63" i="42"/>
  <c r="K35" i="42"/>
  <c r="I67" i="42"/>
  <c r="J67" i="42"/>
  <c r="K28" i="42"/>
  <c r="J60" i="42"/>
  <c r="I60" i="42"/>
  <c r="H91" i="42"/>
  <c r="M91" i="42"/>
  <c r="J56" i="42"/>
  <c r="I56" i="42"/>
  <c r="I84" i="42"/>
  <c r="J84" i="42"/>
  <c r="H85" i="42"/>
  <c r="M85" i="42"/>
  <c r="I80" i="42"/>
  <c r="J80" i="42"/>
  <c r="J51" i="42"/>
  <c r="I51" i="42"/>
  <c r="K38" i="42"/>
  <c r="K20" i="42"/>
  <c r="K22" i="42"/>
  <c r="I87" i="42"/>
  <c r="J87" i="42"/>
  <c r="K71" i="42"/>
  <c r="H93" i="42"/>
  <c r="M93" i="42"/>
  <c r="J70" i="42"/>
  <c r="I70" i="42"/>
  <c r="H88" i="42"/>
  <c r="M88" i="42"/>
  <c r="H82" i="42"/>
  <c r="M82" i="42"/>
  <c r="J66" i="42"/>
  <c r="I66" i="42"/>
  <c r="I95" i="42"/>
  <c r="J95" i="42"/>
  <c r="K40" i="42"/>
  <c r="K11" i="42"/>
  <c r="K25" i="42"/>
  <c r="K41" i="42"/>
  <c r="I72" i="42"/>
  <c r="J72" i="42"/>
  <c r="H94" i="42"/>
  <c r="M94" i="42"/>
  <c r="G92" i="42"/>
  <c r="D12" i="8"/>
  <c r="M68" i="42"/>
  <c r="H68" i="42"/>
  <c r="H73" i="42" s="1"/>
  <c r="I89" i="42"/>
  <c r="J89" i="42"/>
  <c r="J88" i="41"/>
  <c r="L88" i="41" s="1"/>
  <c r="J62" i="41"/>
  <c r="L62" i="41" s="1"/>
  <c r="I56" i="41"/>
  <c r="K56" i="41" s="1"/>
  <c r="K25" i="41"/>
  <c r="K13" i="41"/>
  <c r="J55" i="41"/>
  <c r="I67" i="41"/>
  <c r="K67" i="41" s="1"/>
  <c r="L38" i="41"/>
  <c r="K14" i="41"/>
  <c r="J54" i="41"/>
  <c r="K54" i="41" s="1"/>
  <c r="K29" i="41"/>
  <c r="I63" i="41"/>
  <c r="K63" i="41" s="1"/>
  <c r="L37" i="41"/>
  <c r="K44" i="41"/>
  <c r="L43" i="41"/>
  <c r="L7" i="41"/>
  <c r="K28" i="41"/>
  <c r="K37" i="41"/>
  <c r="K22" i="41"/>
  <c r="K92" i="39"/>
  <c r="L29" i="41"/>
  <c r="K43" i="41"/>
  <c r="J79" i="41"/>
  <c r="I79" i="41"/>
  <c r="K7" i="41"/>
  <c r="L34" i="41"/>
  <c r="L44" i="41"/>
  <c r="K40" i="41"/>
  <c r="L10" i="41"/>
  <c r="L28" i="41"/>
  <c r="L35" i="41"/>
  <c r="K16" i="41"/>
  <c r="J81" i="41"/>
  <c r="K41" i="41"/>
  <c r="L16" i="41"/>
  <c r="K19" i="41"/>
  <c r="J86" i="41"/>
  <c r="I86" i="41"/>
  <c r="K71" i="41"/>
  <c r="K89" i="39"/>
  <c r="K79" i="39"/>
  <c r="J94" i="39"/>
  <c r="K94" i="39" s="1"/>
  <c r="K71" i="39"/>
  <c r="K91" i="39"/>
  <c r="K34" i="41"/>
  <c r="L17" i="41"/>
  <c r="L13" i="41"/>
  <c r="J58" i="41"/>
  <c r="I58" i="41"/>
  <c r="K32" i="41"/>
  <c r="K10" i="41"/>
  <c r="K38" i="41"/>
  <c r="L23" i="41"/>
  <c r="L31" i="41"/>
  <c r="L25" i="41"/>
  <c r="L19" i="41"/>
  <c r="J93" i="41"/>
  <c r="I93" i="41"/>
  <c r="I95" i="41"/>
  <c r="J95" i="41"/>
  <c r="J64" i="41"/>
  <c r="I64" i="41"/>
  <c r="J51" i="41"/>
  <c r="I51" i="41"/>
  <c r="L22" i="41"/>
  <c r="K66" i="41"/>
  <c r="K17" i="41"/>
  <c r="I50" i="41"/>
  <c r="J50" i="41"/>
  <c r="J94" i="41"/>
  <c r="I94" i="41"/>
  <c r="J49" i="41"/>
  <c r="I49" i="41"/>
  <c r="J65" i="41"/>
  <c r="I65" i="41"/>
  <c r="I85" i="41"/>
  <c r="J85" i="41"/>
  <c r="J93" i="39"/>
  <c r="I93" i="39"/>
  <c r="K88" i="39"/>
  <c r="K68" i="39"/>
  <c r="K72" i="39"/>
  <c r="K70" i="39"/>
  <c r="J64" i="39"/>
  <c r="K64" i="39" s="1"/>
  <c r="J66" i="39"/>
  <c r="I66" i="39"/>
  <c r="J65" i="39"/>
  <c r="I65" i="39"/>
  <c r="I55" i="39"/>
  <c r="J55" i="39"/>
  <c r="K37" i="39"/>
  <c r="J54" i="39"/>
  <c r="I54" i="39"/>
  <c r="J53" i="39"/>
  <c r="I53" i="39"/>
  <c r="J51" i="39"/>
  <c r="I51" i="39"/>
  <c r="K38" i="39"/>
  <c r="K35" i="39"/>
  <c r="K34" i="39"/>
  <c r="K32" i="39"/>
  <c r="K31" i="39"/>
  <c r="K29" i="39"/>
  <c r="K28" i="39"/>
  <c r="K23" i="39"/>
  <c r="K20" i="39"/>
  <c r="K25" i="39"/>
  <c r="K26" i="39"/>
  <c r="K22" i="39"/>
  <c r="K19" i="39"/>
  <c r="J13" i="12"/>
  <c r="C43" i="12"/>
  <c r="I41" i="43" l="1"/>
  <c r="L19" i="7"/>
  <c r="I41" i="44"/>
  <c r="C6" i="11" s="1"/>
  <c r="K33" i="44"/>
  <c r="K41" i="44" s="1"/>
  <c r="E6" i="11" s="1"/>
  <c r="J33" i="44"/>
  <c r="L19" i="44"/>
  <c r="J41" i="44"/>
  <c r="D6" i="11" s="1"/>
  <c r="I79" i="42"/>
  <c r="H97" i="42"/>
  <c r="L20" i="43"/>
  <c r="L59" i="41"/>
  <c r="L29" i="43"/>
  <c r="L65" i="42"/>
  <c r="L59" i="42"/>
  <c r="K54" i="42"/>
  <c r="L53" i="42"/>
  <c r="L14" i="44"/>
  <c r="J79" i="42"/>
  <c r="L33" i="44"/>
  <c r="K50" i="42"/>
  <c r="L58" i="42"/>
  <c r="K63" i="42"/>
  <c r="L51" i="42"/>
  <c r="L72" i="42"/>
  <c r="L28" i="44"/>
  <c r="L15" i="44"/>
  <c r="L30" i="44"/>
  <c r="L80" i="42"/>
  <c r="L24" i="44"/>
  <c r="L70" i="42"/>
  <c r="L95" i="42"/>
  <c r="K72" i="42"/>
  <c r="L66" i="42"/>
  <c r="K67" i="42"/>
  <c r="L32" i="44"/>
  <c r="K87" i="42"/>
  <c r="L34" i="44"/>
  <c r="K95" i="42"/>
  <c r="L64" i="42"/>
  <c r="L23" i="44"/>
  <c r="K89" i="42"/>
  <c r="L84" i="42"/>
  <c r="I86" i="42"/>
  <c r="L86" i="42" s="1"/>
  <c r="L55" i="42"/>
  <c r="K55" i="42"/>
  <c r="L18" i="44"/>
  <c r="L29" i="44"/>
  <c r="K70" i="42"/>
  <c r="L56" i="42"/>
  <c r="L67" i="42"/>
  <c r="L89" i="41"/>
  <c r="I82" i="41"/>
  <c r="K82" i="41" s="1"/>
  <c r="K60" i="41"/>
  <c r="J84" i="41"/>
  <c r="K84" i="41" s="1"/>
  <c r="K62" i="41"/>
  <c r="L36" i="43"/>
  <c r="I87" i="41"/>
  <c r="L87" i="41" s="1"/>
  <c r="K72" i="41"/>
  <c r="L63" i="41"/>
  <c r="K88" i="41"/>
  <c r="K70" i="41"/>
  <c r="I80" i="41"/>
  <c r="L80" i="41" s="1"/>
  <c r="L55" i="41"/>
  <c r="L25" i="43"/>
  <c r="K95" i="41"/>
  <c r="L65" i="41"/>
  <c r="L54" i="41"/>
  <c r="K79" i="41"/>
  <c r="L23" i="43"/>
  <c r="L56" i="41"/>
  <c r="J91" i="41"/>
  <c r="I91" i="41"/>
  <c r="L21" i="43"/>
  <c r="L94" i="41"/>
  <c r="L38" i="43"/>
  <c r="K34" i="43"/>
  <c r="J34" i="43"/>
  <c r="K65" i="41"/>
  <c r="L31" i="7"/>
  <c r="D37" i="39"/>
  <c r="M37" i="39" s="1"/>
  <c r="C14" i="38"/>
  <c r="E14" i="38" s="1"/>
  <c r="D37" i="41"/>
  <c r="M37" i="41" s="1"/>
  <c r="D37" i="42"/>
  <c r="M37" i="42" s="1"/>
  <c r="K55" i="41"/>
  <c r="M92" i="41"/>
  <c r="M97" i="41" s="1"/>
  <c r="H92" i="41"/>
  <c r="H97" i="41" s="1"/>
  <c r="H98" i="41" s="1"/>
  <c r="J68" i="41"/>
  <c r="J73" i="41" s="1"/>
  <c r="I68" i="41"/>
  <c r="I73" i="41" s="1"/>
  <c r="J33" i="43"/>
  <c r="K33" i="43"/>
  <c r="C5" i="11"/>
  <c r="L20" i="44"/>
  <c r="D19" i="39"/>
  <c r="M19" i="39" s="1"/>
  <c r="C8" i="38"/>
  <c r="E8" i="38" s="1"/>
  <c r="D19" i="41"/>
  <c r="M19" i="41" s="1"/>
  <c r="D19" i="42"/>
  <c r="M19" i="42" s="1"/>
  <c r="L81" i="41"/>
  <c r="K51" i="42"/>
  <c r="L87" i="42"/>
  <c r="L60" i="42"/>
  <c r="L63" i="42"/>
  <c r="K80" i="42"/>
  <c r="I68" i="42"/>
  <c r="J68" i="42"/>
  <c r="J73" i="42" s="1"/>
  <c r="L89" i="42"/>
  <c r="I88" i="42"/>
  <c r="J88" i="42"/>
  <c r="H92" i="42"/>
  <c r="M92" i="42"/>
  <c r="M97" i="42" s="1"/>
  <c r="K66" i="42"/>
  <c r="K56" i="42"/>
  <c r="I82" i="42"/>
  <c r="J82" i="42"/>
  <c r="I85" i="42"/>
  <c r="J85" i="42"/>
  <c r="I91" i="42"/>
  <c r="J91" i="42"/>
  <c r="K60" i="42"/>
  <c r="I93" i="42"/>
  <c r="J93" i="42"/>
  <c r="I94" i="42"/>
  <c r="J94" i="42"/>
  <c r="K84" i="42"/>
  <c r="K64" i="41"/>
  <c r="L67" i="41"/>
  <c r="L95" i="41"/>
  <c r="L93" i="41"/>
  <c r="K86" i="41"/>
  <c r="L86" i="41"/>
  <c r="L79" i="41"/>
  <c r="K81" i="41"/>
  <c r="K93" i="41"/>
  <c r="K51" i="41"/>
  <c r="L50" i="41"/>
  <c r="K58" i="41"/>
  <c r="L51" i="41"/>
  <c r="L58" i="41"/>
  <c r="L49" i="41"/>
  <c r="K49" i="41"/>
  <c r="K94" i="41"/>
  <c r="L64" i="41"/>
  <c r="K85" i="41"/>
  <c r="L85" i="41"/>
  <c r="K50" i="41"/>
  <c r="K93" i="39"/>
  <c r="K65" i="39"/>
  <c r="K66" i="39"/>
  <c r="K55" i="39"/>
  <c r="K51" i="39"/>
  <c r="K53" i="39"/>
  <c r="K54" i="39"/>
  <c r="M87" i="39"/>
  <c r="F87" i="39"/>
  <c r="H87" i="39" s="1"/>
  <c r="L79" i="42" l="1"/>
  <c r="J41" i="43"/>
  <c r="D5" i="11" s="1"/>
  <c r="K79" i="42"/>
  <c r="K86" i="42"/>
  <c r="L68" i="42"/>
  <c r="L73" i="42" s="1"/>
  <c r="I73" i="42"/>
  <c r="E12" i="8" s="1"/>
  <c r="L94" i="42"/>
  <c r="L91" i="42"/>
  <c r="L41" i="44"/>
  <c r="L93" i="42"/>
  <c r="K93" i="42"/>
  <c r="L82" i="42"/>
  <c r="L85" i="42"/>
  <c r="K88" i="42"/>
  <c r="K68" i="42"/>
  <c r="L82" i="41"/>
  <c r="K87" i="41"/>
  <c r="L84" i="41"/>
  <c r="L34" i="43"/>
  <c r="K68" i="41"/>
  <c r="K73" i="41" s="1"/>
  <c r="K80" i="41"/>
  <c r="L68" i="41"/>
  <c r="L73" i="41" s="1"/>
  <c r="L91" i="41"/>
  <c r="K91" i="41"/>
  <c r="E11" i="8"/>
  <c r="L33" i="43"/>
  <c r="K41" i="43"/>
  <c r="E5" i="11" s="1"/>
  <c r="J92" i="41"/>
  <c r="J97" i="41" s="1"/>
  <c r="J98" i="41" s="1"/>
  <c r="E4" i="8" s="1"/>
  <c r="C4" i="8"/>
  <c r="I92" i="41"/>
  <c r="K73" i="42"/>
  <c r="H98" i="42"/>
  <c r="C5" i="8" s="1"/>
  <c r="K91" i="42"/>
  <c r="K82" i="42"/>
  <c r="L88" i="42"/>
  <c r="K94" i="42"/>
  <c r="K85" i="42"/>
  <c r="I92" i="42"/>
  <c r="I97" i="42" s="1"/>
  <c r="J92" i="42"/>
  <c r="J97" i="42" s="1"/>
  <c r="J98" i="42" s="1"/>
  <c r="E5" i="8" s="1"/>
  <c r="I87" i="39"/>
  <c r="J87" i="39"/>
  <c r="L41" i="43" l="1"/>
  <c r="I98" i="42"/>
  <c r="D5" i="8" s="1"/>
  <c r="L92" i="41"/>
  <c r="L97" i="41" s="1"/>
  <c r="L98" i="41" s="1"/>
  <c r="G4" i="8" s="1"/>
  <c r="I97" i="41"/>
  <c r="I98" i="41" s="1"/>
  <c r="D4" i="8" s="1"/>
  <c r="K92" i="41"/>
  <c r="K97" i="41" s="1"/>
  <c r="K98" i="41" s="1"/>
  <c r="F12" i="8"/>
  <c r="L92" i="42"/>
  <c r="L97" i="42" s="1"/>
  <c r="L98" i="42" s="1"/>
  <c r="K92" i="42"/>
  <c r="K97" i="42" s="1"/>
  <c r="K98" i="42" s="1"/>
  <c r="K87" i="39"/>
  <c r="J101" i="42" l="1"/>
  <c r="J101" i="41"/>
  <c r="K101" i="41"/>
  <c r="F11" i="8"/>
  <c r="K101" i="42"/>
  <c r="G5" i="8"/>
  <c r="I30" i="7" l="1"/>
  <c r="I27" i="7"/>
  <c r="K27" i="7" s="1"/>
  <c r="I25" i="7"/>
  <c r="K18" i="7" l="1"/>
  <c r="J18" i="7"/>
  <c r="J27" i="7"/>
  <c r="J25" i="7"/>
  <c r="J30" i="7"/>
  <c r="K25" i="7"/>
  <c r="K30" i="7"/>
  <c r="L30" i="7" l="1"/>
  <c r="L18" i="7"/>
  <c r="L27" i="7"/>
  <c r="L25" i="7"/>
  <c r="M40" i="7" l="1"/>
  <c r="E15" i="38" l="1"/>
  <c r="E16" i="38" l="1"/>
  <c r="H15" i="38"/>
  <c r="M95" i="39" l="1"/>
  <c r="M7" i="39"/>
  <c r="G84" i="39"/>
  <c r="M84" i="39" s="1"/>
  <c r="G82" i="39"/>
  <c r="G81" i="39"/>
  <c r="G80" i="39"/>
  <c r="G67" i="39"/>
  <c r="G32" i="7" s="1"/>
  <c r="G63" i="39"/>
  <c r="G28" i="7" s="1"/>
  <c r="G59" i="39"/>
  <c r="G24" i="7" s="1"/>
  <c r="G58" i="39"/>
  <c r="G23" i="7" s="1"/>
  <c r="G56" i="39"/>
  <c r="G21" i="7" s="1"/>
  <c r="G50" i="39"/>
  <c r="G15" i="7" s="1"/>
  <c r="F95" i="39"/>
  <c r="F86" i="39"/>
  <c r="F85" i="39"/>
  <c r="F84" i="39"/>
  <c r="F82" i="39"/>
  <c r="F81" i="39"/>
  <c r="F80" i="39"/>
  <c r="F67" i="39"/>
  <c r="F63" i="39"/>
  <c r="M62" i="39"/>
  <c r="F62" i="39"/>
  <c r="H62" i="39" s="1"/>
  <c r="M60" i="39"/>
  <c r="F60" i="39"/>
  <c r="H60" i="39" s="1"/>
  <c r="F59" i="39"/>
  <c r="F58" i="39"/>
  <c r="F56" i="39"/>
  <c r="F50" i="39"/>
  <c r="F49" i="39"/>
  <c r="F44" i="39"/>
  <c r="H44" i="39" s="1"/>
  <c r="D44" i="39"/>
  <c r="M44" i="39" s="1"/>
  <c r="F43" i="39"/>
  <c r="H43" i="39" s="1"/>
  <c r="M43" i="39"/>
  <c r="F41" i="39"/>
  <c r="H41" i="39" s="1"/>
  <c r="M41" i="39"/>
  <c r="F40" i="39"/>
  <c r="H40" i="39" s="1"/>
  <c r="M40" i="39"/>
  <c r="F17" i="39"/>
  <c r="F16" i="39"/>
  <c r="H16" i="39" s="1"/>
  <c r="F14" i="39"/>
  <c r="H14" i="39" s="1"/>
  <c r="F13" i="39"/>
  <c r="H13" i="39" s="1"/>
  <c r="F11" i="39"/>
  <c r="F10" i="39"/>
  <c r="H10" i="39" s="1"/>
  <c r="F7" i="39"/>
  <c r="M56" i="39" l="1"/>
  <c r="I21" i="7"/>
  <c r="F47" i="38"/>
  <c r="I32" i="7"/>
  <c r="L94" i="39"/>
  <c r="L91" i="39"/>
  <c r="L88" i="39"/>
  <c r="L89" i="39"/>
  <c r="L70" i="39"/>
  <c r="L31" i="39"/>
  <c r="L29" i="39"/>
  <c r="L25" i="39"/>
  <c r="L19" i="39"/>
  <c r="L22" i="39"/>
  <c r="L20" i="39"/>
  <c r="L68" i="39"/>
  <c r="L26" i="39"/>
  <c r="L37" i="39"/>
  <c r="L38" i="39"/>
  <c r="L34" i="39"/>
  <c r="L35" i="39"/>
  <c r="L32" i="39"/>
  <c r="L71" i="39"/>
  <c r="L79" i="39"/>
  <c r="L23" i="39"/>
  <c r="L72" i="39"/>
  <c r="L28" i="39"/>
  <c r="L93" i="39"/>
  <c r="L66" i="39"/>
  <c r="L65" i="39"/>
  <c r="L54" i="39"/>
  <c r="L51" i="39"/>
  <c r="L64" i="39"/>
  <c r="L55" i="39"/>
  <c r="L53" i="39"/>
  <c r="H56" i="39"/>
  <c r="I56" i="39" s="1"/>
  <c r="H84" i="39"/>
  <c r="L87" i="39"/>
  <c r="H7" i="39"/>
  <c r="I16" i="7"/>
  <c r="I15" i="7"/>
  <c r="J15" i="7" s="1"/>
  <c r="I23" i="7"/>
  <c r="J23" i="7" s="1"/>
  <c r="I24" i="7"/>
  <c r="J24" i="7" s="1"/>
  <c r="I28" i="7"/>
  <c r="K28" i="7" s="1"/>
  <c r="H86" i="39"/>
  <c r="J86" i="39" s="1"/>
  <c r="G85" i="39"/>
  <c r="H85" i="39" s="1"/>
  <c r="I29" i="7"/>
  <c r="M86" i="39"/>
  <c r="H95" i="39"/>
  <c r="F36" i="38"/>
  <c r="M58" i="39"/>
  <c r="H58" i="39"/>
  <c r="I60" i="39"/>
  <c r="J60" i="39"/>
  <c r="I41" i="39"/>
  <c r="J41" i="39"/>
  <c r="H63" i="39"/>
  <c r="M63" i="39"/>
  <c r="I40" i="39"/>
  <c r="J40" i="39"/>
  <c r="I13" i="39"/>
  <c r="J13" i="39"/>
  <c r="I14" i="39"/>
  <c r="J14" i="39"/>
  <c r="J44" i="39"/>
  <c r="I44" i="39"/>
  <c r="I62" i="39"/>
  <c r="J62" i="39"/>
  <c r="I10" i="39"/>
  <c r="H11" i="39"/>
  <c r="I16" i="39"/>
  <c r="H17" i="39"/>
  <c r="I43" i="39"/>
  <c r="H67" i="39"/>
  <c r="J16" i="39"/>
  <c r="J43" i="39"/>
  <c r="M67" i="39"/>
  <c r="J10" i="39"/>
  <c r="J16" i="7" l="1"/>
  <c r="K32" i="7"/>
  <c r="J32" i="7"/>
  <c r="J21" i="7"/>
  <c r="K21" i="7"/>
  <c r="L10" i="39"/>
  <c r="J84" i="39"/>
  <c r="I7" i="39"/>
  <c r="J56" i="39"/>
  <c r="L56" i="39" s="1"/>
  <c r="I84" i="39"/>
  <c r="K24" i="7"/>
  <c r="L24" i="7" s="1"/>
  <c r="L13" i="39"/>
  <c r="J7" i="39"/>
  <c r="I95" i="39"/>
  <c r="K15" i="7"/>
  <c r="L15" i="7" s="1"/>
  <c r="L44" i="39"/>
  <c r="L41" i="39"/>
  <c r="I86" i="39"/>
  <c r="L86" i="39" s="1"/>
  <c r="J28" i="7"/>
  <c r="L28" i="7" s="1"/>
  <c r="K16" i="7"/>
  <c r="L16" i="7" s="1"/>
  <c r="F35" i="38"/>
  <c r="K23" i="7"/>
  <c r="L23" i="7" s="1"/>
  <c r="M85" i="39"/>
  <c r="I85" i="39"/>
  <c r="J85" i="39"/>
  <c r="L16" i="39"/>
  <c r="K40" i="39"/>
  <c r="J95" i="39"/>
  <c r="J29" i="7"/>
  <c r="K29" i="7"/>
  <c r="K43" i="39"/>
  <c r="K44" i="39"/>
  <c r="K62" i="39"/>
  <c r="L14" i="39"/>
  <c r="L43" i="39"/>
  <c r="K13" i="39"/>
  <c r="L60" i="39"/>
  <c r="L40" i="39"/>
  <c r="K10" i="39"/>
  <c r="J17" i="39"/>
  <c r="I17" i="39"/>
  <c r="L62" i="39"/>
  <c r="K14" i="39"/>
  <c r="J63" i="39"/>
  <c r="I63" i="39"/>
  <c r="K41" i="39"/>
  <c r="K60" i="39"/>
  <c r="M59" i="39"/>
  <c r="H59" i="39"/>
  <c r="J67" i="39"/>
  <c r="I67" i="39"/>
  <c r="K16" i="39"/>
  <c r="M80" i="39"/>
  <c r="H80" i="39"/>
  <c r="M49" i="39"/>
  <c r="H49" i="39"/>
  <c r="M82" i="39"/>
  <c r="H82" i="39"/>
  <c r="M50" i="39"/>
  <c r="H50" i="39"/>
  <c r="J11" i="39"/>
  <c r="I11" i="39"/>
  <c r="M81" i="39"/>
  <c r="H81" i="39"/>
  <c r="J58" i="39"/>
  <c r="I58" i="39"/>
  <c r="K84" i="39" l="1"/>
  <c r="L21" i="7"/>
  <c r="H73" i="39"/>
  <c r="L32" i="7"/>
  <c r="H97" i="39"/>
  <c r="L84" i="39"/>
  <c r="M97" i="39"/>
  <c r="D10" i="8"/>
  <c r="L7" i="39"/>
  <c r="K7" i="39"/>
  <c r="K56" i="39"/>
  <c r="K11" i="39"/>
  <c r="K86" i="39"/>
  <c r="K95" i="39"/>
  <c r="L58" i="39"/>
  <c r="L85" i="39"/>
  <c r="L29" i="7"/>
  <c r="K85" i="39"/>
  <c r="L17" i="39"/>
  <c r="L95" i="39"/>
  <c r="K67" i="39"/>
  <c r="K63" i="39"/>
  <c r="K17" i="39"/>
  <c r="L11" i="39"/>
  <c r="J49" i="39"/>
  <c r="I49" i="39"/>
  <c r="L67" i="39"/>
  <c r="L63" i="39"/>
  <c r="I80" i="39"/>
  <c r="J80" i="39"/>
  <c r="K58" i="39"/>
  <c r="I81" i="39"/>
  <c r="J81" i="39"/>
  <c r="I59" i="39"/>
  <c r="J59" i="39"/>
  <c r="I50" i="39"/>
  <c r="J50" i="39"/>
  <c r="I82" i="39"/>
  <c r="J82" i="39"/>
  <c r="L49" i="39" l="1"/>
  <c r="J73" i="39"/>
  <c r="H98" i="39"/>
  <c r="C3" i="8" s="1"/>
  <c r="C6" i="8" s="1"/>
  <c r="I73" i="39"/>
  <c r="J97" i="39"/>
  <c r="I97" i="39"/>
  <c r="L80" i="39"/>
  <c r="K82" i="39"/>
  <c r="L82" i="39"/>
  <c r="L50" i="39"/>
  <c r="L81" i="39"/>
  <c r="K80" i="39"/>
  <c r="L59" i="39"/>
  <c r="K50" i="39"/>
  <c r="K81" i="39"/>
  <c r="K59" i="39"/>
  <c r="K49" i="39"/>
  <c r="K73" i="39" l="1"/>
  <c r="L73" i="39"/>
  <c r="L97" i="39"/>
  <c r="K97" i="39"/>
  <c r="F10" i="8"/>
  <c r="E10" i="8"/>
  <c r="J98" i="39"/>
  <c r="E3" i="8" s="1"/>
  <c r="I98" i="39"/>
  <c r="D3" i="8" s="1"/>
  <c r="L98" i="39" l="1"/>
  <c r="K101" i="39" s="1"/>
  <c r="K98" i="39"/>
  <c r="J101" i="39"/>
  <c r="G3" i="8" l="1"/>
  <c r="C36" i="12"/>
  <c r="D37" i="12" s="1"/>
  <c r="C30" i="12"/>
  <c r="D17" i="41" l="1"/>
  <c r="M17" i="41" s="1"/>
  <c r="F7" i="38"/>
  <c r="D17" i="42"/>
  <c r="M17" i="42" s="1"/>
  <c r="D31" i="12"/>
  <c r="C31" i="12"/>
  <c r="D17" i="39"/>
  <c r="M17" i="39" s="1"/>
  <c r="C37" i="12"/>
  <c r="D14" i="41" l="1"/>
  <c r="M14" i="41" s="1"/>
  <c r="F6" i="38"/>
  <c r="D14" i="42"/>
  <c r="M14" i="42" s="1"/>
  <c r="D16" i="41"/>
  <c r="M16" i="41" s="1"/>
  <c r="C7" i="38"/>
  <c r="D16" i="42"/>
  <c r="M16" i="42" s="1"/>
  <c r="D13" i="41"/>
  <c r="M13" i="41" s="1"/>
  <c r="C6" i="38"/>
  <c r="D13" i="42"/>
  <c r="M13" i="42" s="1"/>
  <c r="D13" i="39"/>
  <c r="M13" i="39" s="1"/>
  <c r="D16" i="39"/>
  <c r="M16" i="39" s="1"/>
  <c r="D14" i="39"/>
  <c r="M14" i="39" s="1"/>
  <c r="D3" i="12"/>
  <c r="E3" i="12" l="1"/>
  <c r="F42" i="38" l="1"/>
  <c r="F39" i="38" l="1"/>
  <c r="F29" i="38" l="1"/>
  <c r="F48" i="38"/>
  <c r="I34" i="7" l="1"/>
  <c r="J34" i="7" s="1"/>
  <c r="I14" i="7"/>
  <c r="K14" i="7" s="1"/>
  <c r="F43" i="38"/>
  <c r="F40" i="38"/>
  <c r="F30" i="38"/>
  <c r="F38" i="38" l="1"/>
  <c r="K34" i="7"/>
  <c r="L34" i="7" s="1"/>
  <c r="J14" i="7"/>
  <c r="L14" i="7" s="1"/>
  <c r="D14" i="8" l="1"/>
  <c r="E6" i="38" l="1"/>
  <c r="H6" i="38"/>
  <c r="H7" i="38" l="1"/>
  <c r="E7" i="38"/>
  <c r="G18" i="12"/>
  <c r="G19" i="12"/>
  <c r="G20" i="12"/>
  <c r="G17" i="12"/>
  <c r="G16" i="12"/>
  <c r="F17" i="12"/>
  <c r="F18" i="12"/>
  <c r="F19" i="12"/>
  <c r="F20" i="12"/>
  <c r="F16" i="12"/>
  <c r="C5" i="38" l="1"/>
  <c r="G21" i="12"/>
  <c r="D11" i="41" s="1"/>
  <c r="M11" i="41" s="1"/>
  <c r="D10" i="41" l="1"/>
  <c r="M10" i="41" s="1"/>
  <c r="M73" i="41" s="1"/>
  <c r="D10" i="42"/>
  <c r="M10" i="42" s="1"/>
  <c r="D11" i="42"/>
  <c r="M11" i="42" s="1"/>
  <c r="F5" i="38"/>
  <c r="H5" i="38" s="1"/>
  <c r="H17" i="38" s="1"/>
  <c r="D11" i="39"/>
  <c r="M11" i="39" s="1"/>
  <c r="E5" i="38"/>
  <c r="E17" i="38" s="1"/>
  <c r="D10" i="39"/>
  <c r="M10" i="39" s="1"/>
  <c r="M103" i="42" l="1"/>
  <c r="M73" i="42"/>
  <c r="M98" i="42" s="1"/>
  <c r="L101" i="42" s="1"/>
  <c r="M103" i="41"/>
  <c r="M98" i="41"/>
  <c r="H4" i="8" s="1"/>
  <c r="M73" i="39"/>
  <c r="M98" i="39" s="1"/>
  <c r="M104" i="39" s="1"/>
  <c r="M103" i="39"/>
  <c r="H5" i="8" l="1"/>
  <c r="I5" i="8" s="1"/>
  <c r="L101" i="41"/>
  <c r="M101" i="41" s="1"/>
  <c r="M104" i="41"/>
  <c r="M104" i="42"/>
  <c r="M101" i="42"/>
  <c r="L101" i="39"/>
  <c r="M101" i="39" s="1"/>
  <c r="H3" i="8"/>
  <c r="D92" i="12" l="1"/>
  <c r="D91" i="12"/>
  <c r="D90" i="12"/>
  <c r="M17" i="43" l="1"/>
  <c r="M26" i="7"/>
  <c r="M17" i="7"/>
  <c r="M17" i="44"/>
  <c r="M37" i="7"/>
  <c r="M9" i="43"/>
  <c r="M8" i="43"/>
  <c r="M8" i="44"/>
  <c r="M37" i="44"/>
  <c r="M38" i="7"/>
  <c r="M27" i="44"/>
  <c r="M39" i="44"/>
  <c r="M37" i="43"/>
  <c r="M26" i="44"/>
  <c r="M27" i="43"/>
  <c r="M39" i="43"/>
  <c r="M6" i="44"/>
  <c r="M36" i="7"/>
  <c r="M6" i="43"/>
  <c r="M26" i="43"/>
  <c r="M9" i="44"/>
  <c r="M20" i="7"/>
  <c r="M33" i="7"/>
  <c r="M21" i="44"/>
  <c r="M15" i="43"/>
  <c r="M25" i="44"/>
  <c r="M18" i="43"/>
  <c r="M14" i="43"/>
  <c r="M30" i="43"/>
  <c r="M31" i="44"/>
  <c r="M28" i="43"/>
  <c r="M29" i="43"/>
  <c r="M16" i="43"/>
  <c r="M16" i="44"/>
  <c r="M38" i="44"/>
  <c r="M24" i="43"/>
  <c r="M36" i="44"/>
  <c r="M19" i="43"/>
  <c r="M20" i="44"/>
  <c r="M19" i="7"/>
  <c r="M14" i="44"/>
  <c r="M33" i="44"/>
  <c r="M38" i="43"/>
  <c r="M36" i="43"/>
  <c r="M23" i="44"/>
  <c r="M30" i="44"/>
  <c r="M23" i="43"/>
  <c r="M28" i="44"/>
  <c r="M21" i="43"/>
  <c r="M25" i="43"/>
  <c r="M20" i="43"/>
  <c r="M29" i="44"/>
  <c r="M19" i="44"/>
  <c r="M34" i="44"/>
  <c r="M18" i="44"/>
  <c r="M24" i="44"/>
  <c r="M31" i="43"/>
  <c r="M32" i="43"/>
  <c r="M15" i="44"/>
  <c r="M31" i="7"/>
  <c r="M32" i="44"/>
  <c r="M33" i="43"/>
  <c r="M34" i="43"/>
  <c r="M16" i="7"/>
  <c r="M32" i="7"/>
  <c r="M21" i="7"/>
  <c r="M18" i="7"/>
  <c r="M27" i="7"/>
  <c r="M25" i="7"/>
  <c r="M30" i="7"/>
  <c r="M28" i="7"/>
  <c r="M24" i="7"/>
  <c r="M23" i="7"/>
  <c r="M15" i="7"/>
  <c r="M29" i="7"/>
  <c r="M34" i="7"/>
  <c r="M14" i="7"/>
  <c r="M41" i="43" l="1"/>
  <c r="G5" i="11" s="1"/>
  <c r="M41" i="44"/>
  <c r="G6" i="11" s="1"/>
  <c r="G11" i="8"/>
  <c r="I11" i="8" s="1"/>
  <c r="H11" i="8" l="1"/>
  <c r="F4" i="8" l="1"/>
  <c r="F6" i="11"/>
  <c r="F5" i="11"/>
  <c r="I4" i="8" l="1"/>
  <c r="H8" i="11"/>
  <c r="H7" i="11"/>
  <c r="D13" i="8" l="1"/>
  <c r="F5" i="8" l="1"/>
  <c r="I6" i="11" l="1"/>
  <c r="I5" i="11"/>
  <c r="I39" i="7"/>
  <c r="B9" i="7"/>
  <c r="I6" i="7"/>
  <c r="K39" i="7" l="1"/>
  <c r="J39" i="7"/>
  <c r="J6" i="7"/>
  <c r="K6" i="7"/>
  <c r="L39" i="7" l="1"/>
  <c r="M39" i="7"/>
  <c r="M6" i="7"/>
  <c r="L6" i="7"/>
  <c r="I9" i="7" l="1"/>
  <c r="K9" i="7" l="1"/>
  <c r="J9" i="7"/>
  <c r="I41" i="7" l="1"/>
  <c r="C4" i="11" s="1"/>
  <c r="M9" i="7"/>
  <c r="L9" i="7"/>
  <c r="J8" i="7"/>
  <c r="J41" i="7" s="1"/>
  <c r="D4" i="11" s="1"/>
  <c r="D7" i="11" s="1"/>
  <c r="K8" i="7"/>
  <c r="K41" i="7" s="1"/>
  <c r="E4" i="11" s="1"/>
  <c r="L8" i="7" l="1"/>
  <c r="L41" i="7" s="1"/>
  <c r="M8" i="7"/>
  <c r="M41" i="7" s="1"/>
  <c r="G4" i="11" s="1"/>
  <c r="E13" i="8"/>
  <c r="G12" i="8"/>
  <c r="I12" i="8" s="1"/>
  <c r="C8" i="11"/>
  <c r="F4" i="11"/>
  <c r="C7" i="8"/>
  <c r="D8" i="11"/>
  <c r="E8" i="11"/>
  <c r="C7" i="11"/>
  <c r="H12" i="8" l="1"/>
  <c r="F14" i="8"/>
  <c r="E14" i="8"/>
  <c r="I3" i="8"/>
  <c r="I7" i="8" s="1"/>
  <c r="F13" i="8"/>
  <c r="E7" i="11"/>
  <c r="G10" i="8"/>
  <c r="E6" i="8"/>
  <c r="H7" i="8"/>
  <c r="I4" i="11"/>
  <c r="H10" i="8" l="1"/>
  <c r="I10" i="8"/>
  <c r="G14" i="8"/>
  <c r="G7" i="8"/>
  <c r="G7" i="11"/>
  <c r="G13" i="8"/>
  <c r="F7" i="11"/>
  <c r="F8" i="11"/>
  <c r="G8" i="11"/>
  <c r="E7" i="8"/>
  <c r="F3" i="8"/>
  <c r="F6" i="8" s="1"/>
  <c r="I7" i="11"/>
  <c r="I8" i="11"/>
  <c r="H6" i="8"/>
  <c r="D7" i="8"/>
  <c r="D6" i="8"/>
  <c r="H13" i="8" l="1"/>
  <c r="I13" i="8"/>
  <c r="H14" i="8"/>
  <c r="I14" i="8"/>
  <c r="I6" i="8"/>
  <c r="G6" i="8"/>
  <c r="F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 authorId="0" shapeId="0" xr:uid="{5ED2B701-F58C-49B0-B22A-D535AD0235BD}">
      <text>
        <r>
          <rPr>
            <b/>
            <sz val="9"/>
            <color indexed="81"/>
            <rFont val="Tahoma"/>
            <family val="2"/>
          </rPr>
          <t>Author:</t>
        </r>
        <r>
          <rPr>
            <sz val="9"/>
            <color indexed="81"/>
            <rFont val="Tahoma"/>
            <family val="2"/>
          </rPr>
          <t xml:space="preserve">
Where do we find these numbers?
Send list; extra HON EtO: hex, wastewater, flare load limit, maintenance vent limit etc.
Other than EtO: D/F limits w performance testing; fenceline monitoring (starts in year 1); removal of TRE process vent (instead people will have to control process vents)</t>
        </r>
      </text>
    </comment>
  </commentList>
</comments>
</file>

<file path=xl/sharedStrings.xml><?xml version="1.0" encoding="utf-8"?>
<sst xmlns="http://schemas.openxmlformats.org/spreadsheetml/2006/main" count="870" uniqueCount="324">
  <si>
    <t>Technical</t>
  </si>
  <si>
    <t>Clerical</t>
  </si>
  <si>
    <t>Burden Item</t>
  </si>
  <si>
    <t>(A)
Respondent Hours per Occurrence (Technical hours)</t>
  </si>
  <si>
    <t>(A)</t>
  </si>
  <si>
    <t>(B)</t>
  </si>
  <si>
    <t>(C)</t>
  </si>
  <si>
    <t>(D)</t>
  </si>
  <si>
    <t>(E)</t>
  </si>
  <si>
    <t>(F)</t>
  </si>
  <si>
    <t>Number of Occurrences Per Year</t>
  </si>
  <si>
    <t>1.</t>
  </si>
  <si>
    <t>Applications</t>
  </si>
  <si>
    <t>not applicable</t>
  </si>
  <si>
    <t>2.</t>
  </si>
  <si>
    <t>3.</t>
  </si>
  <si>
    <t>Required Activities</t>
  </si>
  <si>
    <t>A.</t>
  </si>
  <si>
    <t>Observe stack tests</t>
  </si>
  <si>
    <t>B.</t>
  </si>
  <si>
    <t>Excess emissions -- Enforcement Activities</t>
  </si>
  <si>
    <t>C.</t>
  </si>
  <si>
    <t>Create Information</t>
  </si>
  <si>
    <t>D.</t>
  </si>
  <si>
    <t>Gather Information</t>
  </si>
  <si>
    <t>E.</t>
  </si>
  <si>
    <t>Report Reviews</t>
  </si>
  <si>
    <t>F.</t>
  </si>
  <si>
    <t>Prepare annual summary report</t>
  </si>
  <si>
    <t xml:space="preserve">Travel expenses:  (1 person *  30 hours per year / 8 hours per day * $75 per diem) + ($600 per round trip) = </t>
  </si>
  <si>
    <t>per trip</t>
  </si>
  <si>
    <t>TOTAL</t>
  </si>
  <si>
    <t>Percent of Stack Tests Observed</t>
  </si>
  <si>
    <t>Estimated Percent Retesting</t>
  </si>
  <si>
    <t>Estimated Percent Emission Exceedences</t>
  </si>
  <si>
    <t>Year</t>
  </si>
  <si>
    <t>Technical Hours</t>
  </si>
  <si>
    <t>Management Hours</t>
  </si>
  <si>
    <t>Clerical Hours</t>
  </si>
  <si>
    <t>Total Labor Hours</t>
  </si>
  <si>
    <t>Labor Costs</t>
  </si>
  <si>
    <t>Non-Labor (Annualized Capital/Startup and O&amp;M) Costs</t>
  </si>
  <si>
    <t>Total Costs</t>
  </si>
  <si>
    <t>Total</t>
  </si>
  <si>
    <t>Average</t>
  </si>
  <si>
    <t>Hourly Mean Wage</t>
  </si>
  <si>
    <t>With  Fringe &amp; Overhead</t>
  </si>
  <si>
    <t>(GS- 12, step 1) - Tech.</t>
  </si>
  <si>
    <t>(GS- 13, step 5) - Mgmt.</t>
  </si>
  <si>
    <t>(GS-6, step 3) - Cler.</t>
  </si>
  <si>
    <t>4.</t>
  </si>
  <si>
    <t>Total Hours</t>
  </si>
  <si>
    <t>Non-Labor Costs</t>
  </si>
  <si>
    <t>4.  Recordkeeping Requirements</t>
  </si>
  <si>
    <t>A.  Read Instructions</t>
  </si>
  <si>
    <t>C.  Develop Record System</t>
  </si>
  <si>
    <t>Recordkeeping Subtotal</t>
  </si>
  <si>
    <t>1.  Applications</t>
  </si>
  <si>
    <t>NA</t>
  </si>
  <si>
    <t>2.  Surveys and Studies</t>
  </si>
  <si>
    <t>3.  Reporting Requirements</t>
  </si>
  <si>
    <t>B.  Required Activities</t>
  </si>
  <si>
    <t>C.  Create Information</t>
  </si>
  <si>
    <t>D.  Gather Information</t>
  </si>
  <si>
    <t>Inc. in 3B</t>
  </si>
  <si>
    <t>Inc. in 3E</t>
  </si>
  <si>
    <t>E.  Report Preparation</t>
  </si>
  <si>
    <t>Reporting Subtotal</t>
  </si>
  <si>
    <t>D.  Record information</t>
  </si>
  <si>
    <t>F.  Time for Audits</t>
  </si>
  <si>
    <t>Labor</t>
  </si>
  <si>
    <t>Non-Labor</t>
  </si>
  <si>
    <t>Summary of Respondent Burden</t>
  </si>
  <si>
    <t>Initial Capital and Startup</t>
  </si>
  <si>
    <t>Annualized Capital/Start-up and O &amp; M</t>
  </si>
  <si>
    <t>(B) 
Non-Labor Costs Per Occurrence</t>
  </si>
  <si>
    <t>Category</t>
  </si>
  <si>
    <t>Occupation Code</t>
  </si>
  <si>
    <t>Number of Responses</t>
  </si>
  <si>
    <t>Reporting Hours</t>
  </si>
  <si>
    <t>Recordkeeping Hours</t>
  </si>
  <si>
    <t>Hours per Response</t>
  </si>
  <si>
    <t>(C) 
Number of Occurrences Per Respondent Per Year</t>
  </si>
  <si>
    <t>(E)
Number of Respondents Per Year</t>
  </si>
  <si>
    <t>(G) 
Clerical Hours per Year
(F X 0.1)</t>
  </si>
  <si>
    <t>(H)
Management Hours per Year
(F X .05)</t>
  </si>
  <si>
    <t>Footnotes:</t>
  </si>
  <si>
    <t>Tech Hours Per Year
(C=A x B)</t>
  </si>
  <si>
    <t>Management Hours Per Year
(D = C x 0.05)</t>
  </si>
  <si>
    <t>Clerical Hours Per Year
(E = C x 0.1)</t>
  </si>
  <si>
    <t>(F)
Technical Hours per Year
(D X E)</t>
  </si>
  <si>
    <t>B.  Implement Activities</t>
  </si>
  <si>
    <t>Capital Cost</t>
  </si>
  <si>
    <t>a.  Capital Cost</t>
  </si>
  <si>
    <t>b.  Annualized Cost</t>
  </si>
  <si>
    <t>Inc. in 3.A</t>
  </si>
  <si>
    <t>https://www.opm.gov/policy-data-oversight/pay-leave/salaries-wages/salary-tables/pdf/2016/GS_h.pdf</t>
  </si>
  <si>
    <t>or https://www.opm.gov/policy-data-oversight/pay-leave/salaries-wages/</t>
  </si>
  <si>
    <t>Hours Per Respondent</t>
  </si>
  <si>
    <t>(D)
Technical Hours per Respondent Per Year
 (A X C)</t>
  </si>
  <si>
    <t>Number of Respondents</t>
  </si>
  <si>
    <t>Technical Hours Per Occurrence</t>
  </si>
  <si>
    <t>Total Hours Per Year (C+D+E)</t>
  </si>
  <si>
    <t>(G)</t>
  </si>
  <si>
    <t>(I)
Total Hours per Year
(F + G + H)</t>
  </si>
  <si>
    <t>(J)
Total Labor Costs Per Year</t>
  </si>
  <si>
    <t>(K)
Total Non-Labor Costs Per Year 
(B x C x E)</t>
  </si>
  <si>
    <t>Capital/Startup and O&amp;M Costs</t>
  </si>
  <si>
    <t>a.  Flares</t>
  </si>
  <si>
    <t>b.  PRDs</t>
  </si>
  <si>
    <t>Annual Cost</t>
  </si>
  <si>
    <t>Parameter</t>
  </si>
  <si>
    <t>Flare Management Plan - One-time cost</t>
  </si>
  <si>
    <t>Value</t>
  </si>
  <si>
    <t>Capital Equipment Cost ($/flare)</t>
  </si>
  <si>
    <t>Annualized Cost ($/yr/flare)</t>
  </si>
  <si>
    <t>Number of Flares Impacted</t>
  </si>
  <si>
    <t>Calorimeter</t>
  </si>
  <si>
    <t>Flare Gas Flow Monitor</t>
  </si>
  <si>
    <t>Steam Controls/Flow Monitor</t>
  </si>
  <si>
    <t>Air Controls/Flow Monitor</t>
  </si>
  <si>
    <t>EPA Wages</t>
  </si>
  <si>
    <t>Industry Wages</t>
  </si>
  <si>
    <t>H2 Analyzer</t>
  </si>
  <si>
    <t>Nationwide Capital Equipment Cost ($)</t>
  </si>
  <si>
    <t>Nationwide Total Annualized Cost ($/yr)</t>
  </si>
  <si>
    <t>Monitoring Equipment</t>
  </si>
  <si>
    <t>PRD Monitor</t>
  </si>
  <si>
    <t>e.  HEX El Paso Method</t>
  </si>
  <si>
    <t># facilities with atmospheric PRDs</t>
  </si>
  <si>
    <t>Review flare management plan</t>
  </si>
  <si>
    <t>Review notification of compliance status</t>
  </si>
  <si>
    <t>Flare Monitors</t>
  </si>
  <si>
    <t>Capital/Startup Costs for One Respondent</t>
  </si>
  <si>
    <t>Number of Respondents with Capital/Startup Costs</t>
  </si>
  <si>
    <t>Annual Cost (O&amp;M and Capital) for One Respondent</t>
  </si>
  <si>
    <t>Total Capital/ Startup Cost
(B X C)</t>
  </si>
  <si>
    <t>Total Annual Cost,
(E X F)</t>
  </si>
  <si>
    <t>Source &amp; Monitor Type</t>
  </si>
  <si>
    <t>1/3 of facilities</t>
  </si>
  <si>
    <t>2/3 of facilities</t>
  </si>
  <si>
    <t>All facilities</t>
  </si>
  <si>
    <t>Information Collection Activity</t>
  </si>
  <si>
    <t>Number of Existing Respondents That Keep Records But Do Not Submit Reports</t>
  </si>
  <si>
    <t>Total Annual Responses</t>
  </si>
  <si>
    <t>Notification of Compliance Status</t>
  </si>
  <si>
    <t>Periodic Reports</t>
  </si>
  <si>
    <t>Total Annual Responses
E=(BxC)+D</t>
  </si>
  <si>
    <r>
      <t>Number of Respondents</t>
    </r>
    <r>
      <rPr>
        <vertAlign val="superscript"/>
        <sz val="10"/>
        <color rgb="FF000000"/>
        <rFont val="Times New Roman"/>
        <family val="1"/>
      </rPr>
      <t>a</t>
    </r>
  </si>
  <si>
    <t>Monitor Capital Cost</t>
  </si>
  <si>
    <t>Monitor Annual Cost</t>
  </si>
  <si>
    <t>2.  PRD Monitor</t>
  </si>
  <si>
    <t>3.  HEX El Paso Method</t>
  </si>
  <si>
    <t>Avg. Cost Per Facility</t>
  </si>
  <si>
    <t>Flare Monitor Costs</t>
  </si>
  <si>
    <t>a.  Initial Testing</t>
  </si>
  <si>
    <t>d.  Bypass Lines</t>
  </si>
  <si>
    <t>1.  Notification of Compliance Status</t>
  </si>
  <si>
    <t>2.  Periodic Report</t>
  </si>
  <si>
    <t>Review periodic reports</t>
  </si>
  <si>
    <t>Flares</t>
  </si>
  <si>
    <t>PRDs</t>
  </si>
  <si>
    <t>Bypass Lines</t>
  </si>
  <si>
    <t>HEX El Paso Method</t>
  </si>
  <si>
    <t>11-9041</t>
  </si>
  <si>
    <t>NAICS 325000 - Chemical Manufacturing</t>
  </si>
  <si>
    <t># Facilities w/ Equip. Leaks</t>
  </si>
  <si>
    <t># Facilities w/ HEX</t>
  </si>
  <si>
    <t># Facilities w/ PV &amp; SV</t>
  </si>
  <si>
    <t># Facilities w/ Wastewater</t>
  </si>
  <si>
    <t>CECPI 2016 -&gt; 2021</t>
  </si>
  <si>
    <t>PRD Work Practice &amp; Monitor</t>
  </si>
  <si>
    <t>PRD Work Practice</t>
  </si>
  <si>
    <t>Implement Prevention Measures</t>
  </si>
  <si>
    <t>Root Cause Analysis &amp; Corrective Action</t>
  </si>
  <si>
    <t># facilities with HEX</t>
  </si>
  <si>
    <t>HEX El Paso Method Monitor &amp; Repair</t>
  </si>
  <si>
    <t>Carbon Adsorber Monitoring and Performance Test</t>
  </si>
  <si>
    <t># facilities with Adsorber</t>
  </si>
  <si>
    <t>Pressure Vessel Monitoring</t>
  </si>
  <si>
    <t># facilities with Pressure Vessel</t>
  </si>
  <si>
    <t>Storage Vessel Planned Routine Maintenance</t>
  </si>
  <si>
    <t>Dioxin/Furan Monitoring &amp; Performance Testing</t>
  </si>
  <si>
    <t># facilities producing chlorinated compounds</t>
  </si>
  <si>
    <t>Fenceline Monitoring</t>
  </si>
  <si>
    <t># facilities impacted</t>
  </si>
  <si>
    <t># facilities that need an RTO</t>
  </si>
  <si>
    <t>Process Vent TRE and Maintenance Vent Requirements</t>
  </si>
  <si>
    <t>Maintenance vent requirements</t>
  </si>
  <si>
    <t>Revising the standard from a TRE calculation to control of all vent streams</t>
  </si>
  <si>
    <t>5.  Pressure Vessel Monitoring</t>
  </si>
  <si>
    <t>6. Storage Vessel Planned Routine Maintenance Control</t>
  </si>
  <si>
    <t>9.  Process Vent - TRE Removal and Maintenance Vent Control</t>
  </si>
  <si>
    <t>Initial Testing</t>
  </si>
  <si>
    <t>Testing: 5-yr Re-test</t>
  </si>
  <si>
    <t>f.  Storage Vessel Routine Maintenance</t>
  </si>
  <si>
    <t>g.  Carbon Adsorbers</t>
  </si>
  <si>
    <t>h.  Pressure Vessels</t>
  </si>
  <si>
    <t>a. Site-specific monitoring plan</t>
  </si>
  <si>
    <t>b. Corrective action plan</t>
  </si>
  <si>
    <t>c. Quarterly reports</t>
  </si>
  <si>
    <t>8.  Flare Management Plan</t>
  </si>
  <si>
    <t>9.  Tank Degassing</t>
  </si>
  <si>
    <t>17-2112</t>
  </si>
  <si>
    <t>Management</t>
  </si>
  <si>
    <t>43-9061</t>
  </si>
  <si>
    <t>Mean hourly rate ($/hr)</t>
  </si>
  <si>
    <t>Fringe Benefit Loading Rate</t>
  </si>
  <si>
    <t>Overhead and Profit Rate</t>
  </si>
  <si>
    <t>Loaded Rate ($/hr)</t>
  </si>
  <si>
    <t>May 2021 National Industry-Specific Occupational Employment and Wage Estimates</t>
  </si>
  <si>
    <t>https://www.bls.gov/oes/2021/may/naics3_325000.htm</t>
  </si>
  <si>
    <t>a. Site specific monitoring plan</t>
  </si>
  <si>
    <t>PRD Work Practice &amp; Monitors</t>
  </si>
  <si>
    <t>Pressure Vessel Monitors</t>
  </si>
  <si>
    <t>Carbon Adsorber Monitors &amp; Performance Test</t>
  </si>
  <si>
    <t>Heat Exchangers - El Paso Method Monitors and Repair</t>
  </si>
  <si>
    <t>Dioxin/Furan Monitors &amp; Performance Test</t>
  </si>
  <si>
    <t xml:space="preserve">Process Vent TRE and Maintenance Vent Requirements </t>
  </si>
  <si>
    <t>P&amp;R I</t>
  </si>
  <si>
    <t># P&amp;R I Facilities</t>
  </si>
  <si>
    <t>P&amp;R I w/ CP</t>
  </si>
  <si>
    <t># Facilities w/ Flares</t>
  </si>
  <si>
    <t>c. Continuous Process Vents</t>
  </si>
  <si>
    <t>d. Batch Process Vents</t>
  </si>
  <si>
    <t>e. Storage Vessels</t>
  </si>
  <si>
    <t>CP Process Vent &amp; Storage Vessel RTO</t>
  </si>
  <si>
    <t>CP Process Vents and Tanks - Monitoring &amp; Testing</t>
  </si>
  <si>
    <t>g.  Chloroprene Wastewater Group 1</t>
  </si>
  <si>
    <t>h.  Chloroprene Process Vents &amp; Tanks</t>
  </si>
  <si>
    <t>c.  Continuous Maintenance Vents</t>
  </si>
  <si>
    <t>e.  Bypass Lines</t>
  </si>
  <si>
    <t>f.  HEX El Paso Method</t>
  </si>
  <si>
    <t>g.  Storage Vessel Routine Maintenance</t>
  </si>
  <si>
    <t>h.  Carbon Adsorbers</t>
  </si>
  <si>
    <t>i.  Pressure Vessels</t>
  </si>
  <si>
    <t>k.  Chloroprene Wastewater Group 1</t>
  </si>
  <si>
    <t>1.  Flares</t>
  </si>
  <si>
    <t>2.  PRDs</t>
  </si>
  <si>
    <t>4.  Continuous Maintenance Vents</t>
  </si>
  <si>
    <t>13. Pressure Vessels</t>
  </si>
  <si>
    <t>d. Batch Maintenance Vents</t>
  </si>
  <si>
    <t>j.  Chloroprene Process Vents</t>
  </si>
  <si>
    <t>5. Batch Maintenance Vents</t>
  </si>
  <si>
    <t>c.  Continuous Process Vents</t>
  </si>
  <si>
    <t>d.  Batch Process Vents</t>
  </si>
  <si>
    <t>d.  Batch Maintenance Vents</t>
  </si>
  <si>
    <t>i.  Chloroprene Process Vents</t>
  </si>
  <si>
    <t>e.  Storage Vessels</t>
  </si>
  <si>
    <t>g. Chloroprene Wastewater Group 1</t>
  </si>
  <si>
    <t>f.  Carbon Adsorbers</t>
  </si>
  <si>
    <r>
      <t xml:space="preserve">(J)
Total Labor Costs Per Year </t>
    </r>
    <r>
      <rPr>
        <vertAlign val="superscript"/>
        <sz val="8"/>
        <rFont val="Arial"/>
        <family val="2"/>
      </rPr>
      <t>b</t>
    </r>
  </si>
  <si>
    <r>
      <t xml:space="preserve">(E)
Number of Respondents Per Year </t>
    </r>
    <r>
      <rPr>
        <vertAlign val="superscript"/>
        <sz val="8"/>
        <rFont val="Arial"/>
        <family val="2"/>
      </rPr>
      <t>a</t>
    </r>
  </si>
  <si>
    <r>
      <t xml:space="preserve">A.  Read Rule </t>
    </r>
    <r>
      <rPr>
        <vertAlign val="superscript"/>
        <sz val="8"/>
        <rFont val="Arial"/>
        <family val="2"/>
      </rPr>
      <t>c</t>
    </r>
  </si>
  <si>
    <r>
      <t xml:space="preserve">1.  Flare Monitors </t>
    </r>
    <r>
      <rPr>
        <vertAlign val="superscript"/>
        <sz val="8"/>
        <rFont val="Arial"/>
        <family val="2"/>
      </rPr>
      <t>d</t>
    </r>
  </si>
  <si>
    <r>
      <t xml:space="preserve">4.  Carbon Adsorber Monitoring and Performance Test </t>
    </r>
    <r>
      <rPr>
        <vertAlign val="superscript"/>
        <sz val="8"/>
        <rFont val="Arial"/>
        <family val="2"/>
      </rPr>
      <t>e</t>
    </r>
  </si>
  <si>
    <r>
      <t xml:space="preserve">7.  Dioxin/Furan Monitoring and Performance Test </t>
    </r>
    <r>
      <rPr>
        <vertAlign val="superscript"/>
        <sz val="8"/>
        <rFont val="Arial"/>
        <family val="2"/>
      </rPr>
      <t>f</t>
    </r>
  </si>
  <si>
    <r>
      <t xml:space="preserve">8.  Fenceline Monitoring </t>
    </r>
    <r>
      <rPr>
        <vertAlign val="superscript"/>
        <sz val="8"/>
        <rFont val="Arial"/>
        <family val="2"/>
      </rPr>
      <t>g</t>
    </r>
  </si>
  <si>
    <r>
      <t xml:space="preserve">10.  Chloroprene Process Vents &amp; Storage Tanks - Control Device </t>
    </r>
    <r>
      <rPr>
        <vertAlign val="superscript"/>
        <sz val="8"/>
        <rFont val="Arial"/>
        <family val="2"/>
      </rPr>
      <t>h</t>
    </r>
  </si>
  <si>
    <r>
      <t xml:space="preserve">11.  Chloroprene Process Vents &amp; Storage Tanks - Control Device Monitor </t>
    </r>
    <r>
      <rPr>
        <vertAlign val="superscript"/>
        <sz val="8"/>
        <rFont val="Arial"/>
        <family val="2"/>
      </rPr>
      <t>h</t>
    </r>
  </si>
  <si>
    <r>
      <t>12.  Chloroprene Process Vents &amp; Storage Tanks - Control Device Testing</t>
    </r>
    <r>
      <rPr>
        <vertAlign val="superscript"/>
        <sz val="8"/>
        <rFont val="Arial"/>
        <family val="2"/>
      </rPr>
      <t xml:space="preserve"> h</t>
    </r>
  </si>
  <si>
    <r>
      <t xml:space="preserve">b.  Re-Testing </t>
    </r>
    <r>
      <rPr>
        <vertAlign val="superscript"/>
        <sz val="8"/>
        <rFont val="Arial"/>
        <family val="2"/>
      </rPr>
      <t>i</t>
    </r>
  </si>
  <si>
    <r>
      <t xml:space="preserve">f. Carbon Adsorbers </t>
    </r>
    <r>
      <rPr>
        <vertAlign val="superscript"/>
        <sz val="8"/>
        <rFont val="Arial"/>
        <family val="2"/>
      </rPr>
      <t>e</t>
    </r>
  </si>
  <si>
    <r>
      <t xml:space="preserve">g.  Chloroprene Wastewater Group 1 </t>
    </r>
    <r>
      <rPr>
        <vertAlign val="superscript"/>
        <sz val="8"/>
        <rFont val="Arial"/>
        <family val="2"/>
      </rPr>
      <t>h</t>
    </r>
  </si>
  <si>
    <r>
      <t xml:space="preserve">h.  Chloroprene Process Vents &amp; Tanks </t>
    </r>
    <r>
      <rPr>
        <vertAlign val="superscript"/>
        <sz val="8"/>
        <rFont val="Arial"/>
        <family val="2"/>
      </rPr>
      <t>h</t>
    </r>
  </si>
  <si>
    <r>
      <t xml:space="preserve">e.  Bypass Lines </t>
    </r>
    <r>
      <rPr>
        <vertAlign val="superscript"/>
        <sz val="8"/>
        <rFont val="Arial"/>
        <family val="2"/>
      </rPr>
      <t>j</t>
    </r>
  </si>
  <si>
    <r>
      <t xml:space="preserve">h.  Carbon Adsorbers </t>
    </r>
    <r>
      <rPr>
        <vertAlign val="superscript"/>
        <sz val="8"/>
        <rFont val="Arial"/>
        <family val="2"/>
      </rPr>
      <t>e</t>
    </r>
  </si>
  <si>
    <r>
      <t xml:space="preserve">j.  Chloroprene Process Vents and Tanks </t>
    </r>
    <r>
      <rPr>
        <vertAlign val="superscript"/>
        <sz val="8"/>
        <rFont val="Arial"/>
        <family val="2"/>
      </rPr>
      <t>h</t>
    </r>
  </si>
  <si>
    <r>
      <t xml:space="preserve">k.  Chloroprene Wastewater Group 1 </t>
    </r>
    <r>
      <rPr>
        <vertAlign val="superscript"/>
        <sz val="8"/>
        <rFont val="Arial"/>
        <family val="2"/>
      </rPr>
      <t>h</t>
    </r>
  </si>
  <si>
    <r>
      <t xml:space="preserve">3.  Fenceline Monitoring </t>
    </r>
    <r>
      <rPr>
        <vertAlign val="superscript"/>
        <sz val="8"/>
        <rFont val="Arial"/>
        <family val="2"/>
      </rPr>
      <t>g</t>
    </r>
  </si>
  <si>
    <r>
      <t xml:space="preserve">3.  HEX El Paso Method </t>
    </r>
    <r>
      <rPr>
        <vertAlign val="superscript"/>
        <sz val="8"/>
        <rFont val="Arial"/>
        <family val="2"/>
      </rPr>
      <t>k</t>
    </r>
  </si>
  <si>
    <r>
      <t xml:space="preserve">6.  Bypass Lines </t>
    </r>
    <r>
      <rPr>
        <vertAlign val="superscript"/>
        <sz val="8"/>
        <rFont val="Arial"/>
        <family val="2"/>
      </rPr>
      <t>j</t>
    </r>
  </si>
  <si>
    <r>
      <t xml:space="preserve">10. Parameter monitoring for adsorbers, condensers, and carbon adsorbers </t>
    </r>
    <r>
      <rPr>
        <vertAlign val="superscript"/>
        <sz val="8"/>
        <rFont val="Arial"/>
        <family val="2"/>
      </rPr>
      <t>e</t>
    </r>
  </si>
  <si>
    <r>
      <t xml:space="preserve">11. Continuous Process Vent Dioxin/Furan concentration </t>
    </r>
    <r>
      <rPr>
        <vertAlign val="superscript"/>
        <sz val="8"/>
        <rFont val="Arial"/>
        <family val="2"/>
      </rPr>
      <t>f</t>
    </r>
  </si>
  <si>
    <r>
      <t xml:space="preserve">12. Back-end Process Vent Dioxin/Furan Concentration </t>
    </r>
    <r>
      <rPr>
        <vertAlign val="superscript"/>
        <sz val="8"/>
        <rFont val="Arial"/>
        <family val="2"/>
      </rPr>
      <t>f</t>
    </r>
  </si>
  <si>
    <r>
      <t>7.  Chloroprene Process Vents &amp; Tanks</t>
    </r>
    <r>
      <rPr>
        <vertAlign val="superscript"/>
        <sz val="8"/>
        <rFont val="Arial"/>
        <family val="2"/>
      </rPr>
      <t xml:space="preserve"> h</t>
    </r>
  </si>
  <si>
    <r>
      <t xml:space="preserve">14. Chloroprene Wastewater Group 1 </t>
    </r>
    <r>
      <rPr>
        <vertAlign val="superscript"/>
        <sz val="8"/>
        <rFont val="Arial"/>
        <family val="2"/>
      </rPr>
      <t>h</t>
    </r>
  </si>
  <si>
    <r>
      <t xml:space="preserve">15. Fenceline Monitoring - Meteorological data </t>
    </r>
    <r>
      <rPr>
        <vertAlign val="superscript"/>
        <sz val="8"/>
        <rFont val="Arial"/>
        <family val="2"/>
      </rPr>
      <t>g</t>
    </r>
  </si>
  <si>
    <r>
      <t xml:space="preserve">16. Fenceline Monitoring - Sampling </t>
    </r>
    <r>
      <rPr>
        <vertAlign val="superscript"/>
        <sz val="8"/>
        <rFont val="Arial"/>
        <family val="2"/>
      </rPr>
      <t>g</t>
    </r>
  </si>
  <si>
    <r>
      <t xml:space="preserve">E.  Personnel Training </t>
    </r>
    <r>
      <rPr>
        <vertAlign val="superscript"/>
        <sz val="8"/>
        <rFont val="Arial"/>
        <family val="2"/>
      </rPr>
      <t>c</t>
    </r>
  </si>
  <si>
    <t>(b) This ICR uses the following labor rates for privately-owned sources: $161.34 for managerial, $101.24 for technical,  and $45.17 for clerical labor.  These rates are from the United States Department of Labor, Bureau of Labor Statistics, May 2021, National Industry-Specific Occupational Employment and Wage Estimates for NAICS 325000 - Chemical Manufacturing. These rates have been adjusted using a Fringe Benefit Loading Rate of 1.5 and an Overhead and Profit Rate of 1.4 (Mean Hourly Rate * Fringe Benefit Loading Rate * Overhead and Profit Rate = Loaded Rate) to account for varying industry wage rates and the additional overhead business costs of employing workers beyond their wages and benefits, including business expenses associated with hiring, training, and equipping their employees.</t>
  </si>
  <si>
    <t>(c) This is a one-time cost.</t>
  </si>
  <si>
    <t>(d) Includes costs for the following monitoring equipment: H2 analyzer, calorimeter, flare gas flow monitor, steam controls/flow monitor, and air controls/flow monitor.</t>
  </si>
  <si>
    <t>(i) Retests only occur after five years from the intial performance test, and thus would not occur over the period covered by this ICR.</t>
  </si>
  <si>
    <t>(j) Assumed that bypass lines were not used during the 3-year period, so costs for bypass lines would not be incurred.</t>
  </si>
  <si>
    <t>(k) Assumed recordkeeping hours are comparable to previously required water methods, and assigned 0 additional hours to implement the El Paso Method.</t>
  </si>
  <si>
    <t>Table 1 - Annual Respondent Burden and Cost of Recordkeeping and Reporting Requirements for the P&amp;R I RTR  - Year 1</t>
  </si>
  <si>
    <t>Table 1 - Annual Respondent Burden and Cost of Recordkeeping and Reporting Requirements for the P&amp;R I RTR  - Year 2</t>
  </si>
  <si>
    <t>Table 1 - Annual Respondent Burden and Cost of Recordkeeping and Reporting Requirements for the P&amp;R I RTR  - Year 3</t>
  </si>
  <si>
    <t>Table 4 - Summary of Annual Respondent Burden and Cost of Recordkeeping and Reporting Requirements for the P&amp;R I RTR</t>
  </si>
  <si>
    <r>
      <t xml:space="preserve">Total Cost Per Year </t>
    </r>
    <r>
      <rPr>
        <vertAlign val="superscript"/>
        <sz val="9"/>
        <color theme="1"/>
        <rFont val="Arial"/>
        <family val="2"/>
      </rPr>
      <t>b</t>
    </r>
  </si>
  <si>
    <r>
      <t xml:space="preserve">Read and Understand Rule Requirements </t>
    </r>
    <r>
      <rPr>
        <vertAlign val="superscript"/>
        <sz val="9"/>
        <rFont val="Arial"/>
        <family val="2"/>
      </rPr>
      <t>a</t>
    </r>
  </si>
  <si>
    <t>(a) Number of occurrences is the number of states and EPA Regions with affected sources (35 states + 10 EPA regions = 45 respondents).</t>
  </si>
  <si>
    <t>(b) These rates are from the Office of Personnel Management (OPM), 2021 General Schedule, which excludes locality rates of pay. The rates have been increased by 60 percent to account for the benefit packages available to government employees. </t>
  </si>
  <si>
    <t>Table 5 - Annual Agency Burden and Cost of Recordkeeping and Reporting Requirements for the P&amp;R I RTR - Year 1</t>
  </si>
  <si>
    <t>Table 5 - Annual Agency Burden and Cost of Recordkeeping and Reporting Requirements for the P&amp;R I RTR - Year 2</t>
  </si>
  <si>
    <t xml:space="preserve">(a) We have assumed that there are approximately 19 existing respondents, with no additional sources becoming subject to the rule over the three-year period of this ICR. We assume that one-third of the existing facilities would begin complying in year 2 and the remaining two-thirds of the existing facilities in year 3. </t>
  </si>
  <si>
    <t>(e) We estimate 1 respondent operates carbon adsorbers.</t>
  </si>
  <si>
    <t>(f) We estimate 1 respondent operates facilities that produce chlorinated compounds.</t>
  </si>
  <si>
    <t>(g) We estimate 12 respondents will be required to conduct fenceline monitoring. All 12 facilities would begin complying with requirements in year 2 and submit corrective action plans in year 3.</t>
  </si>
  <si>
    <t>(h) Only applicable to facilities with ethylene oxide emissions. We assume these facilities will begin complying in year 2. Note, there are not startup/capital &amp; O&amp;M costs for wastewater.</t>
  </si>
  <si>
    <t>Table 5 - Annual Agency Burden and Cost of Recordkeeping and Reporting Requirements for the P&amp;R I RTR - Year 3</t>
  </si>
  <si>
    <t>Table 8 - Summary of Annual Agency Burden and Cost of Recordkeeping and Reporting Requirements for the P&amp;R I RTR</t>
  </si>
  <si>
    <t>Chloroprene Process Vents &amp; Storage Tanks - Control Device</t>
  </si>
  <si>
    <t>Chloroprene Process Vents &amp; Storage Tanks - Control Device Monitor</t>
  </si>
  <si>
    <t>Chloroprene Process Vents &amp; Storage Tanks - Control Device Testing</t>
  </si>
  <si>
    <t>(a) Within a given year, there are a maximum of 19 respondents per information collection activity.</t>
  </si>
  <si>
    <t>(b) We estimate 1 respondents operate carbon adsorbers.</t>
  </si>
  <si>
    <t>(c) We estimate 1 respondents operate facilities that produce chlorinated compounds.</t>
  </si>
  <si>
    <t>(d) We estimate 12 respondents will be required to conduct fenceline monitoring.</t>
  </si>
  <si>
    <t>(e) We estimate there are a maximum of 1 respondents that operate equipment in chloroprene service.</t>
  </si>
  <si>
    <t>Continuous Process Vents</t>
  </si>
  <si>
    <t>Batch Process Vents</t>
  </si>
  <si>
    <t>Storage Vessels</t>
  </si>
  <si>
    <t>Carbon Adsorbers</t>
  </si>
  <si>
    <t>Chloroprene Process Vents &amp; Storage Tanks</t>
  </si>
  <si>
    <t>Chloroprene Wastewater Group 1</t>
  </si>
  <si>
    <t>Continuous Maintenance Vents</t>
  </si>
  <si>
    <t>Batch Maintenance Vents</t>
  </si>
  <si>
    <t>Storage Vessel Routine Maintenance</t>
  </si>
  <si>
    <t>Pressure Vessels</t>
  </si>
  <si>
    <t>Site-specific monitoring plan</t>
  </si>
  <si>
    <t>Corrective action plan</t>
  </si>
  <si>
    <t>Quarterly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</si>
</sst>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
    <numFmt numFmtId="167" formatCode="General_)"/>
    <numFmt numFmtId="168" formatCode="0_)"/>
  </numFmts>
  <fonts count="45" x14ac:knownFonts="1">
    <font>
      <sz val="11"/>
      <color theme="1"/>
      <name val="Calibri"/>
      <family val="2"/>
      <scheme val="minor"/>
    </font>
    <font>
      <sz val="10"/>
      <name val="Arial"/>
      <family val="2"/>
    </font>
    <font>
      <sz val="9"/>
      <color indexed="8"/>
      <name val="Arial"/>
      <family val="2"/>
    </font>
    <font>
      <sz val="11"/>
      <color theme="1"/>
      <name val="Calibri"/>
      <family val="2"/>
      <scheme val="minor"/>
    </font>
    <font>
      <b/>
      <sz val="12"/>
      <name val="Arial"/>
      <family val="2"/>
    </font>
    <font>
      <sz val="9"/>
      <name val="Arial"/>
      <family val="2"/>
    </font>
    <font>
      <sz val="8"/>
      <name val="Arial"/>
      <family val="2"/>
    </font>
    <font>
      <sz val="8"/>
      <color indexed="10"/>
      <name val="Arial"/>
      <family val="2"/>
    </font>
    <font>
      <u/>
      <sz val="11"/>
      <color theme="10"/>
      <name val="Calibri"/>
      <family val="2"/>
    </font>
    <font>
      <sz val="8"/>
      <name val="Courier"/>
      <family val="3"/>
    </font>
    <font>
      <sz val="10"/>
      <color theme="1"/>
      <name val="Calibri"/>
      <family val="2"/>
      <scheme val="minor"/>
    </font>
    <font>
      <b/>
      <sz val="14"/>
      <name val="Arial"/>
      <family val="2"/>
    </font>
    <font>
      <b/>
      <i/>
      <sz val="8"/>
      <name val="Arial"/>
      <family val="2"/>
    </font>
    <font>
      <b/>
      <sz val="8"/>
      <name val="Arial"/>
      <family val="2"/>
    </font>
    <font>
      <sz val="11"/>
      <color theme="1"/>
      <name val="Arial"/>
      <family val="2"/>
    </font>
    <font>
      <sz val="9"/>
      <color indexed="12"/>
      <name val="Arial"/>
      <family val="2"/>
    </font>
    <font>
      <b/>
      <sz val="11"/>
      <name val="Arial"/>
      <family val="2"/>
    </font>
    <font>
      <b/>
      <sz val="10"/>
      <color theme="1"/>
      <name val="Calibri"/>
      <family val="2"/>
      <scheme val="minor"/>
    </font>
    <font>
      <b/>
      <sz val="10"/>
      <name val="Calibri"/>
      <family val="2"/>
      <scheme val="minor"/>
    </font>
    <font>
      <sz val="10"/>
      <name val="Calibri"/>
      <family val="2"/>
      <scheme val="minor"/>
    </font>
    <font>
      <u/>
      <sz val="10"/>
      <color theme="10"/>
      <name val="Calibri"/>
      <family val="2"/>
      <scheme val="minor"/>
    </font>
    <font>
      <b/>
      <sz val="11"/>
      <color theme="1"/>
      <name val="Calibri"/>
      <family val="2"/>
      <scheme val="minor"/>
    </font>
    <font>
      <sz val="8"/>
      <color rgb="FFC00000"/>
      <name val="Arial"/>
      <family val="2"/>
    </font>
    <font>
      <b/>
      <sz val="11"/>
      <name val="Calibri"/>
      <family val="2"/>
      <scheme val="minor"/>
    </font>
    <font>
      <sz val="9"/>
      <color theme="1"/>
      <name val="Arial"/>
      <family val="2"/>
    </font>
    <font>
      <i/>
      <sz val="10"/>
      <color theme="1"/>
      <name val="Calibri"/>
      <family val="2"/>
      <scheme val="minor"/>
    </font>
    <font>
      <sz val="10"/>
      <color theme="1"/>
      <name val="Times New Roman"/>
      <family val="1"/>
    </font>
    <font>
      <b/>
      <sz val="12"/>
      <color rgb="FF000000"/>
      <name val="Times New Roman"/>
      <family val="1"/>
    </font>
    <font>
      <sz val="10"/>
      <color rgb="FF000000"/>
      <name val="Times New Roman"/>
      <family val="1"/>
    </font>
    <font>
      <sz val="10"/>
      <name val="Times New Roman"/>
      <family val="1"/>
    </font>
    <font>
      <sz val="9"/>
      <color rgb="FF000000"/>
      <name val="Times New Roman"/>
      <family val="1"/>
    </font>
    <font>
      <sz val="9"/>
      <color theme="1"/>
      <name val="Times New Roman"/>
      <family val="1"/>
    </font>
    <font>
      <b/>
      <sz val="11"/>
      <color rgb="FF000000"/>
      <name val="Times New Roman"/>
      <family val="1"/>
    </font>
    <font>
      <vertAlign val="superscript"/>
      <sz val="10"/>
      <color rgb="FF000000"/>
      <name val="Times New Roman"/>
      <family val="1"/>
    </font>
    <font>
      <b/>
      <sz val="10"/>
      <name val="Times New Roman"/>
      <family val="1"/>
    </font>
    <font>
      <b/>
      <sz val="10"/>
      <color rgb="FF000000"/>
      <name val="Times New Roman"/>
      <family val="1"/>
    </font>
    <font>
      <b/>
      <sz val="10"/>
      <color theme="1"/>
      <name val="Times New Roman"/>
      <family val="1"/>
    </font>
    <font>
      <b/>
      <sz val="9"/>
      <color theme="1"/>
      <name val="Times New Roman"/>
      <family val="1"/>
    </font>
    <font>
      <b/>
      <sz val="9"/>
      <color rgb="FF000000"/>
      <name val="Times New Roman"/>
      <family val="1"/>
    </font>
    <font>
      <sz val="9"/>
      <color indexed="81"/>
      <name val="Tahoma"/>
      <family val="2"/>
    </font>
    <font>
      <b/>
      <sz val="9"/>
      <color indexed="81"/>
      <name val="Tahoma"/>
      <family val="2"/>
    </font>
    <font>
      <sz val="8"/>
      <name val="Calibri"/>
      <family val="2"/>
      <scheme val="minor"/>
    </font>
    <font>
      <vertAlign val="superscript"/>
      <sz val="8"/>
      <name val="Arial"/>
      <family val="2"/>
    </font>
    <font>
      <vertAlign val="superscript"/>
      <sz val="9"/>
      <color theme="1"/>
      <name val="Arial"/>
      <family val="2"/>
    </font>
    <font>
      <vertAlign val="superscript"/>
      <sz val="9"/>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D9D9D9"/>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style="thin">
        <color indexed="8"/>
      </left>
      <right style="thin">
        <color indexed="8"/>
      </right>
      <top/>
      <bottom/>
      <diagonal/>
    </border>
    <border>
      <left style="thin">
        <color indexed="64"/>
      </left>
      <right style="thin">
        <color indexed="64"/>
      </right>
      <top style="thin">
        <color indexed="64"/>
      </top>
      <bottom style="double">
        <color indexed="64"/>
      </bottom>
      <diagonal/>
    </border>
    <border>
      <left style="thin">
        <color indexed="8"/>
      </left>
      <right/>
      <top/>
      <bottom style="thin">
        <color indexed="64"/>
      </bottom>
      <diagonal/>
    </border>
    <border>
      <left/>
      <right/>
      <top/>
      <bottom style="thin">
        <color indexed="64"/>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64"/>
      </bottom>
      <diagonal/>
    </border>
    <border>
      <left/>
      <right style="thin">
        <color indexed="64"/>
      </right>
      <top/>
      <bottom/>
      <diagonal/>
    </border>
    <border>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top style="thin">
        <color indexed="64"/>
      </top>
      <bottom/>
      <diagonal/>
    </border>
    <border>
      <left style="thin">
        <color indexed="8"/>
      </left>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medium">
        <color indexed="64"/>
      </top>
      <bottom/>
      <diagonal/>
    </border>
    <border>
      <left/>
      <right/>
      <top/>
      <bottom style="double">
        <color indexed="64"/>
      </bottom>
      <diagonal/>
    </border>
    <border>
      <left/>
      <right style="thin">
        <color indexed="8"/>
      </right>
      <top/>
      <bottom style="double">
        <color indexed="64"/>
      </bottom>
      <diagonal/>
    </border>
    <border>
      <left style="thin">
        <color indexed="8"/>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64"/>
      </right>
      <top style="thin">
        <color indexed="64"/>
      </top>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style="thin">
        <color indexed="8"/>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s>
  <cellStyleXfs count="8">
    <xf numFmtId="0" fontId="0" fillId="0" borderId="0"/>
    <xf numFmtId="0" fontId="1" fillId="0" borderId="0"/>
    <xf numFmtId="43" fontId="3" fillId="0" borderId="0" applyFont="0" applyFill="0" applyBorder="0" applyAlignment="0" applyProtection="0"/>
    <xf numFmtId="0" fontId="1" fillId="0" borderId="0"/>
    <xf numFmtId="0" fontId="8"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cellStyleXfs>
  <cellXfs count="321">
    <xf numFmtId="0" fontId="0" fillId="0" borderId="0" xfId="0"/>
    <xf numFmtId="0" fontId="0" fillId="3" borderId="0" xfId="0" applyFill="1"/>
    <xf numFmtId="3" fontId="1" fillId="3" borderId="11" xfId="0" applyNumberFormat="1" applyFont="1" applyFill="1" applyBorder="1" applyAlignment="1">
      <alignment horizontal="center"/>
    </xf>
    <xf numFmtId="164" fontId="1" fillId="3" borderId="11" xfId="0" applyNumberFormat="1" applyFont="1" applyFill="1" applyBorder="1" applyAlignment="1">
      <alignment horizontal="center"/>
    </xf>
    <xf numFmtId="3" fontId="1" fillId="3" borderId="1" xfId="0" applyNumberFormat="1" applyFont="1" applyFill="1" applyBorder="1" applyAlignment="1">
      <alignment horizontal="center"/>
    </xf>
    <xf numFmtId="164" fontId="1" fillId="3" borderId="1" xfId="0" applyNumberFormat="1" applyFont="1" applyFill="1" applyBorder="1" applyAlignment="1">
      <alignment horizontal="center"/>
    </xf>
    <xf numFmtId="3" fontId="1" fillId="3" borderId="15" xfId="0" applyNumberFormat="1" applyFont="1" applyFill="1" applyBorder="1" applyAlignment="1">
      <alignment horizontal="center"/>
    </xf>
    <xf numFmtId="164" fontId="1" fillId="3" borderId="15" xfId="0" applyNumberFormat="1" applyFont="1" applyFill="1" applyBorder="1" applyAlignment="1">
      <alignment horizontal="center"/>
    </xf>
    <xf numFmtId="167" fontId="6" fillId="3" borderId="0" xfId="0" applyNumberFormat="1" applyFont="1" applyFill="1"/>
    <xf numFmtId="167" fontId="6" fillId="3" borderId="0" xfId="0" applyNumberFormat="1" applyFont="1" applyFill="1" applyAlignment="1">
      <alignment horizontal="center" vertical="center"/>
    </xf>
    <xf numFmtId="3" fontId="6" fillId="3" borderId="0" xfId="0" applyNumberFormat="1" applyFont="1" applyFill="1" applyAlignment="1">
      <alignment horizontal="center" vertical="center"/>
    </xf>
    <xf numFmtId="167" fontId="6" fillId="3" borderId="0" xfId="0" applyNumberFormat="1" applyFont="1" applyFill="1" applyAlignment="1">
      <alignment horizontal="left" vertical="center"/>
    </xf>
    <xf numFmtId="164" fontId="6" fillId="3" borderId="0" xfId="0" applyNumberFormat="1" applyFont="1" applyFill="1" applyAlignment="1">
      <alignment horizontal="center" vertical="center"/>
    </xf>
    <xf numFmtId="0" fontId="1" fillId="3" borderId="0" xfId="3" applyFill="1"/>
    <xf numFmtId="167" fontId="6" fillId="3" borderId="0" xfId="0" applyNumberFormat="1" applyFont="1" applyFill="1" applyAlignment="1">
      <alignment horizontal="center"/>
    </xf>
    <xf numFmtId="3" fontId="6" fillId="3" borderId="0" xfId="2" applyNumberFormat="1" applyFont="1" applyFill="1" applyBorder="1" applyAlignment="1">
      <alignment horizontal="right"/>
    </xf>
    <xf numFmtId="167" fontId="7" fillId="3" borderId="0" xfId="0" applyNumberFormat="1" applyFont="1" applyFill="1"/>
    <xf numFmtId="0" fontId="6" fillId="3" borderId="0" xfId="0" applyFont="1" applyFill="1"/>
    <xf numFmtId="167" fontId="6" fillId="3" borderId="0" xfId="0" applyNumberFormat="1" applyFont="1" applyFill="1" applyAlignment="1">
      <alignment horizontal="right"/>
    </xf>
    <xf numFmtId="0" fontId="10" fillId="0" borderId="0" xfId="0" applyFont="1"/>
    <xf numFmtId="0" fontId="6" fillId="3" borderId="0" xfId="0" applyFont="1" applyFill="1" applyAlignment="1">
      <alignment wrapText="1"/>
    </xf>
    <xf numFmtId="0" fontId="6" fillId="0" borderId="1" xfId="0" applyFont="1" applyBorder="1" applyAlignment="1">
      <alignment horizontal="center"/>
    </xf>
    <xf numFmtId="1" fontId="6" fillId="0" borderId="1" xfId="0" applyNumberFormat="1" applyFont="1" applyBorder="1" applyAlignment="1">
      <alignment horizontal="center"/>
    </xf>
    <xf numFmtId="164" fontId="6" fillId="3" borderId="0" xfId="0" applyNumberFormat="1" applyFont="1" applyFill="1"/>
    <xf numFmtId="167" fontId="11" fillId="3" borderId="0" xfId="0" applyNumberFormat="1" applyFont="1" applyFill="1"/>
    <xf numFmtId="0" fontId="14" fillId="3" borderId="0" xfId="0" applyFont="1" applyFill="1"/>
    <xf numFmtId="0" fontId="14" fillId="4" borderId="0" xfId="0" applyFont="1" applyFill="1"/>
    <xf numFmtId="9" fontId="14" fillId="3" borderId="1" xfId="0" applyNumberFormat="1" applyFont="1" applyFill="1" applyBorder="1"/>
    <xf numFmtId="167" fontId="5" fillId="3" borderId="18" xfId="0" applyNumberFormat="1" applyFont="1" applyFill="1" applyBorder="1" applyAlignment="1">
      <alignment horizontal="left" vertical="center"/>
    </xf>
    <xf numFmtId="167" fontId="5" fillId="3" borderId="18" xfId="0" applyNumberFormat="1" applyFont="1" applyFill="1" applyBorder="1"/>
    <xf numFmtId="167" fontId="5" fillId="3" borderId="22" xfId="0" applyNumberFormat="1" applyFont="1" applyFill="1" applyBorder="1"/>
    <xf numFmtId="167" fontId="5" fillId="3" borderId="27" xfId="0" applyNumberFormat="1" applyFont="1" applyFill="1" applyBorder="1" applyAlignment="1">
      <alignment horizontal="left" vertical="center"/>
    </xf>
    <xf numFmtId="167" fontId="5" fillId="3" borderId="33" xfId="0" applyNumberFormat="1" applyFont="1" applyFill="1" applyBorder="1" applyAlignment="1">
      <alignment vertical="center"/>
    </xf>
    <xf numFmtId="167" fontId="5" fillId="3" borderId="0" xfId="0" applyNumberFormat="1" applyFont="1" applyFill="1" applyAlignment="1">
      <alignment horizontal="right" vertical="center"/>
    </xf>
    <xf numFmtId="9" fontId="2" fillId="3" borderId="23" xfId="0" applyNumberFormat="1" applyFont="1" applyFill="1" applyBorder="1" applyAlignment="1" applyProtection="1">
      <alignment horizontal="right" vertical="center"/>
      <protection locked="0"/>
    </xf>
    <xf numFmtId="167" fontId="5" fillId="3" borderId="23" xfId="0" applyNumberFormat="1" applyFont="1" applyFill="1" applyBorder="1" applyAlignment="1">
      <alignment horizontal="left" vertical="center"/>
    </xf>
    <xf numFmtId="167" fontId="5" fillId="3" borderId="23" xfId="0" applyNumberFormat="1" applyFont="1" applyFill="1" applyBorder="1" applyAlignment="1">
      <alignment vertical="center"/>
    </xf>
    <xf numFmtId="9" fontId="5" fillId="3" borderId="18" xfId="0" applyNumberFormat="1" applyFont="1" applyFill="1" applyBorder="1" applyAlignment="1">
      <alignment horizontal="right" vertical="center"/>
    </xf>
    <xf numFmtId="167" fontId="5" fillId="3" borderId="18" xfId="0" applyNumberFormat="1" applyFont="1" applyFill="1" applyBorder="1" applyAlignment="1">
      <alignment vertical="center"/>
    </xf>
    <xf numFmtId="9" fontId="5" fillId="3" borderId="28" xfId="0" applyNumberFormat="1" applyFont="1" applyFill="1" applyBorder="1" applyAlignment="1">
      <alignment horizontal="right" vertical="center"/>
    </xf>
    <xf numFmtId="167" fontId="5" fillId="3" borderId="28" xfId="0" applyNumberFormat="1" applyFont="1" applyFill="1" applyBorder="1" applyAlignment="1">
      <alignment horizontal="left" vertical="center"/>
    </xf>
    <xf numFmtId="167" fontId="5" fillId="3" borderId="28" xfId="0" applyNumberFormat="1" applyFont="1" applyFill="1" applyBorder="1" applyAlignment="1">
      <alignment vertical="center"/>
    </xf>
    <xf numFmtId="9" fontId="5" fillId="3" borderId="27" xfId="0" applyNumberFormat="1" applyFont="1" applyFill="1" applyBorder="1" applyAlignment="1">
      <alignment horizontal="right" vertical="center"/>
    </xf>
    <xf numFmtId="167" fontId="5" fillId="3" borderId="27" xfId="0" applyNumberFormat="1" applyFont="1" applyFill="1" applyBorder="1" applyAlignment="1">
      <alignment vertical="center"/>
    </xf>
    <xf numFmtId="0" fontId="5" fillId="3" borderId="35" xfId="3" applyFont="1" applyFill="1" applyBorder="1"/>
    <xf numFmtId="5" fontId="5" fillId="3" borderId="15" xfId="0" applyNumberFormat="1" applyFont="1" applyFill="1" applyBorder="1" applyAlignment="1">
      <alignment horizontal="center" vertical="center"/>
    </xf>
    <xf numFmtId="167" fontId="5" fillId="3" borderId="0" xfId="0" applyNumberFormat="1" applyFont="1" applyFill="1"/>
    <xf numFmtId="167" fontId="5" fillId="3" borderId="0" xfId="0" applyNumberFormat="1" applyFont="1" applyFill="1" applyAlignment="1">
      <alignment horizontal="right"/>
    </xf>
    <xf numFmtId="9" fontId="5" fillId="3" borderId="35" xfId="0" applyNumberFormat="1" applyFont="1" applyFill="1" applyBorder="1" applyAlignment="1">
      <alignment horizontal="left" vertical="center"/>
    </xf>
    <xf numFmtId="167" fontId="5" fillId="3" borderId="35" xfId="0" applyNumberFormat="1" applyFont="1" applyFill="1" applyBorder="1" applyAlignment="1">
      <alignment vertical="center"/>
    </xf>
    <xf numFmtId="168" fontId="15" fillId="3" borderId="35" xfId="0" applyNumberFormat="1" applyFont="1" applyFill="1" applyBorder="1" applyAlignment="1" applyProtection="1">
      <alignment horizontal="center" vertical="center"/>
      <protection locked="0"/>
    </xf>
    <xf numFmtId="5" fontId="5" fillId="3" borderId="46" xfId="0" applyNumberFormat="1" applyFont="1" applyFill="1" applyBorder="1" applyAlignment="1">
      <alignment horizontal="center" vertical="center"/>
    </xf>
    <xf numFmtId="1" fontId="5" fillId="3" borderId="35" xfId="0" applyNumberFormat="1" applyFont="1" applyFill="1" applyBorder="1" applyAlignment="1">
      <alignment horizontal="left" vertical="center"/>
    </xf>
    <xf numFmtId="167" fontId="5" fillId="3" borderId="17" xfId="0" applyNumberFormat="1" applyFont="1" applyFill="1" applyBorder="1" applyAlignment="1">
      <alignment horizontal="right" vertical="center"/>
    </xf>
    <xf numFmtId="167" fontId="5" fillId="3" borderId="17" xfId="0" applyNumberFormat="1" applyFont="1" applyFill="1" applyBorder="1" applyAlignment="1">
      <alignment horizontal="left" vertical="center"/>
    </xf>
    <xf numFmtId="167" fontId="5" fillId="3" borderId="20" xfId="0" applyNumberFormat="1" applyFont="1" applyFill="1" applyBorder="1" applyAlignment="1">
      <alignment vertical="center"/>
    </xf>
    <xf numFmtId="9" fontId="5" fillId="3" borderId="17" xfId="0" applyNumberFormat="1" applyFont="1" applyFill="1" applyBorder="1" applyAlignment="1">
      <alignment horizontal="right" vertical="center"/>
    </xf>
    <xf numFmtId="167" fontId="5" fillId="3" borderId="20" xfId="0" applyNumberFormat="1" applyFont="1" applyFill="1" applyBorder="1" applyAlignment="1">
      <alignment horizontal="left" vertical="center"/>
    </xf>
    <xf numFmtId="167" fontId="5" fillId="3" borderId="17" xfId="0" applyNumberFormat="1" applyFont="1" applyFill="1" applyBorder="1" applyAlignment="1">
      <alignment horizontal="left" vertical="center" wrapText="1"/>
    </xf>
    <xf numFmtId="164" fontId="10" fillId="0" borderId="0" xfId="0" applyNumberFormat="1" applyFont="1" applyAlignment="1">
      <alignment horizontal="center"/>
    </xf>
    <xf numFmtId="164" fontId="17" fillId="0" borderId="0" xfId="0" applyNumberFormat="1" applyFont="1" applyAlignment="1">
      <alignment horizontal="center"/>
    </xf>
    <xf numFmtId="0" fontId="19" fillId="0" borderId="13" xfId="6" applyFont="1" applyBorder="1"/>
    <xf numFmtId="0" fontId="18" fillId="2" borderId="9" xfId="6" applyFont="1" applyFill="1" applyBorder="1" applyAlignment="1">
      <alignment horizontal="center"/>
    </xf>
    <xf numFmtId="17" fontId="18" fillId="2" borderId="1" xfId="6" applyNumberFormat="1" applyFont="1" applyFill="1" applyBorder="1" applyAlignment="1">
      <alignment horizontal="center"/>
    </xf>
    <xf numFmtId="0" fontId="19" fillId="0" borderId="1" xfId="6" applyFont="1" applyBorder="1"/>
    <xf numFmtId="17" fontId="19" fillId="0" borderId="0" xfId="6" quotePrefix="1" applyNumberFormat="1" applyFont="1"/>
    <xf numFmtId="0" fontId="19" fillId="0" borderId="0" xfId="6" applyFont="1"/>
    <xf numFmtId="0" fontId="19" fillId="0" borderId="1" xfId="5" applyFont="1" applyBorder="1"/>
    <xf numFmtId="0" fontId="19" fillId="0" borderId="1" xfId="1" applyFont="1" applyBorder="1"/>
    <xf numFmtId="0" fontId="19" fillId="0" borderId="0" xfId="5" applyFont="1"/>
    <xf numFmtId="0" fontId="19" fillId="0" borderId="0" xfId="1" applyFont="1"/>
    <xf numFmtId="0" fontId="10" fillId="0" borderId="9" xfId="0" applyFont="1" applyBorder="1"/>
    <xf numFmtId="0" fontId="10" fillId="0" borderId="12" xfId="0" applyFont="1" applyBorder="1"/>
    <xf numFmtId="0" fontId="10" fillId="0" borderId="34" xfId="0" applyFont="1" applyBorder="1"/>
    <xf numFmtId="0" fontId="10" fillId="0" borderId="40" xfId="0" applyFont="1" applyBorder="1"/>
    <xf numFmtId="0" fontId="19" fillId="0" borderId="1" xfId="0" applyFont="1" applyBorder="1"/>
    <xf numFmtId="2" fontId="19" fillId="2" borderId="2" xfId="0" applyNumberFormat="1" applyFont="1" applyFill="1" applyBorder="1"/>
    <xf numFmtId="0" fontId="10" fillId="0" borderId="13" xfId="0" applyFont="1" applyBorder="1"/>
    <xf numFmtId="0" fontId="19" fillId="0" borderId="0" xfId="0" applyFont="1"/>
    <xf numFmtId="0" fontId="19" fillId="0" borderId="31" xfId="0" applyFont="1" applyBorder="1"/>
    <xf numFmtId="0" fontId="10" fillId="0" borderId="31" xfId="0" applyFont="1" applyBorder="1"/>
    <xf numFmtId="0" fontId="10" fillId="0" borderId="39" xfId="0" applyFont="1" applyBorder="1"/>
    <xf numFmtId="0" fontId="20" fillId="0" borderId="0" xfId="4" applyFont="1" applyFill="1" applyBorder="1" applyAlignment="1" applyProtection="1"/>
    <xf numFmtId="0" fontId="19" fillId="0" borderId="9" xfId="5" applyFont="1" applyBorder="1"/>
    <xf numFmtId="0" fontId="19" fillId="0" borderId="9" xfId="1" applyFont="1" applyBorder="1"/>
    <xf numFmtId="0" fontId="19" fillId="0" borderId="40" xfId="1" applyFont="1" applyBorder="1"/>
    <xf numFmtId="0" fontId="19" fillId="0" borderId="13" xfId="5" applyFont="1" applyBorder="1"/>
    <xf numFmtId="0" fontId="19" fillId="0" borderId="40" xfId="5" applyFont="1" applyBorder="1"/>
    <xf numFmtId="0" fontId="19" fillId="0" borderId="38" xfId="5" applyFont="1" applyBorder="1"/>
    <xf numFmtId="0" fontId="19" fillId="0" borderId="31" xfId="5" applyFont="1" applyBorder="1"/>
    <xf numFmtId="0" fontId="19" fillId="0" borderId="39" xfId="5" applyFont="1" applyBorder="1"/>
    <xf numFmtId="0" fontId="18" fillId="0" borderId="1" xfId="1" applyFont="1" applyBorder="1" applyAlignment="1">
      <alignment wrapText="1"/>
    </xf>
    <xf numFmtId="0" fontId="19" fillId="0" borderId="12" xfId="5" applyFont="1" applyBorder="1"/>
    <xf numFmtId="0" fontId="19" fillId="0" borderId="34" xfId="5" applyFont="1" applyBorder="1"/>
    <xf numFmtId="0" fontId="19" fillId="0" borderId="9" xfId="1" applyFont="1" applyBorder="1" applyAlignment="1">
      <alignment wrapText="1"/>
    </xf>
    <xf numFmtId="0" fontId="18" fillId="0" borderId="2" xfId="1" applyFont="1" applyBorder="1" applyAlignment="1">
      <alignment wrapText="1"/>
    </xf>
    <xf numFmtId="165" fontId="19" fillId="2" borderId="2" xfId="5" applyNumberFormat="1" applyFont="1" applyFill="1" applyBorder="1"/>
    <xf numFmtId="3" fontId="1" fillId="0" borderId="11" xfId="0" applyNumberFormat="1" applyFont="1" applyBorder="1" applyAlignment="1">
      <alignment horizontal="center"/>
    </xf>
    <xf numFmtId="3" fontId="1" fillId="0" borderId="15" xfId="0" applyNumberFormat="1" applyFont="1" applyBorder="1" applyAlignment="1">
      <alignment horizontal="center"/>
    </xf>
    <xf numFmtId="0" fontId="14" fillId="0" borderId="0" xfId="0" applyFont="1"/>
    <xf numFmtId="0" fontId="17" fillId="6" borderId="1" xfId="0" applyFont="1" applyFill="1" applyBorder="1" applyAlignment="1">
      <alignment horizontal="center" vertical="center" wrapText="1"/>
    </xf>
    <xf numFmtId="0" fontId="22" fillId="3" borderId="0" xfId="0" applyFont="1" applyFill="1"/>
    <xf numFmtId="0" fontId="18" fillId="5" borderId="2" xfId="6" applyFont="1" applyFill="1" applyBorder="1" applyAlignment="1">
      <alignment horizontal="center"/>
    </xf>
    <xf numFmtId="0" fontId="18" fillId="2" borderId="9" xfId="6" applyFont="1" applyFill="1" applyBorder="1" applyAlignment="1">
      <alignment horizontal="center" vertical="center"/>
    </xf>
    <xf numFmtId="0" fontId="19" fillId="0" borderId="9" xfId="6" applyFont="1" applyBorder="1" applyAlignment="1">
      <alignment horizontal="left"/>
    </xf>
    <xf numFmtId="0" fontId="21" fillId="0" borderId="5" xfId="0" applyFont="1" applyBorder="1"/>
    <xf numFmtId="0" fontId="17" fillId="6" borderId="9"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0" fillId="0" borderId="6" xfId="0" applyFont="1" applyBorder="1"/>
    <xf numFmtId="0" fontId="23" fillId="0" borderId="5" xfId="6" applyFont="1" applyBorder="1"/>
    <xf numFmtId="0" fontId="23" fillId="0" borderId="5" xfId="1" applyFont="1" applyBorder="1"/>
    <xf numFmtId="164" fontId="6" fillId="0" borderId="1" xfId="0" applyNumberFormat="1" applyFont="1" applyBorder="1" applyAlignment="1">
      <alignment horizontal="center"/>
    </xf>
    <xf numFmtId="49" fontId="5" fillId="3" borderId="17" xfId="3" applyNumberFormat="1" applyFont="1" applyFill="1" applyBorder="1" applyAlignment="1">
      <alignment horizontal="right" vertical="center"/>
    </xf>
    <xf numFmtId="3" fontId="1" fillId="0" borderId="1" xfId="0" applyNumberFormat="1" applyFont="1" applyBorder="1" applyAlignment="1">
      <alignment horizontal="center"/>
    </xf>
    <xf numFmtId="167" fontId="24" fillId="3" borderId="37" xfId="0" applyNumberFormat="1" applyFont="1" applyFill="1" applyBorder="1" applyAlignment="1">
      <alignment horizontal="center" wrapText="1"/>
    </xf>
    <xf numFmtId="167" fontId="24" fillId="3" borderId="44" xfId="0" applyNumberFormat="1" applyFont="1" applyFill="1" applyBorder="1" applyAlignment="1">
      <alignment horizontal="center" wrapText="1"/>
    </xf>
    <xf numFmtId="167" fontId="24" fillId="3" borderId="45" xfId="0" applyNumberFormat="1" applyFont="1" applyFill="1" applyBorder="1" applyAlignment="1">
      <alignment horizontal="center" wrapText="1"/>
    </xf>
    <xf numFmtId="164" fontId="6" fillId="3" borderId="1" xfId="0" applyNumberFormat="1" applyFont="1" applyFill="1" applyBorder="1" applyAlignment="1">
      <alignment horizontal="center" vertical="center"/>
    </xf>
    <xf numFmtId="168" fontId="5" fillId="3" borderId="1" xfId="0" applyNumberFormat="1" applyFont="1" applyFill="1" applyBorder="1" applyAlignment="1" applyProtection="1">
      <alignment horizontal="center" vertical="center"/>
      <protection locked="0"/>
    </xf>
    <xf numFmtId="1" fontId="5" fillId="3" borderId="20" xfId="0" applyNumberFormat="1" applyFont="1" applyFill="1" applyBorder="1" applyAlignment="1">
      <alignment horizontal="center" vertical="center"/>
    </xf>
    <xf numFmtId="5" fontId="5" fillId="3" borderId="1" xfId="0" applyNumberFormat="1" applyFont="1" applyFill="1" applyBorder="1" applyAlignment="1">
      <alignment horizontal="center" vertical="center"/>
    </xf>
    <xf numFmtId="168" fontId="5" fillId="3" borderId="14" xfId="0" applyNumberFormat="1" applyFont="1" applyFill="1" applyBorder="1" applyAlignment="1" applyProtection="1">
      <alignment horizontal="center" vertical="center"/>
      <protection locked="0"/>
    </xf>
    <xf numFmtId="167" fontId="5" fillId="3" borderId="21" xfId="0" applyNumberFormat="1" applyFont="1" applyFill="1" applyBorder="1" applyAlignment="1">
      <alignment horizontal="center" vertical="center"/>
    </xf>
    <xf numFmtId="1" fontId="5" fillId="3" borderId="21" xfId="0" applyNumberFormat="1" applyFont="1" applyFill="1" applyBorder="1" applyAlignment="1">
      <alignment horizontal="center" vertical="center"/>
    </xf>
    <xf numFmtId="167" fontId="5" fillId="3" borderId="25" xfId="0" applyNumberFormat="1" applyFont="1" applyFill="1" applyBorder="1" applyAlignment="1">
      <alignment horizontal="center" vertical="center"/>
    </xf>
    <xf numFmtId="1" fontId="5" fillId="3" borderId="25"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xf>
    <xf numFmtId="37" fontId="5" fillId="3" borderId="1" xfId="0" applyNumberFormat="1" applyFont="1" applyFill="1" applyBorder="1" applyAlignment="1" applyProtection="1">
      <alignment horizontal="center" vertical="center"/>
      <protection locked="0"/>
    </xf>
    <xf numFmtId="6" fontId="19" fillId="0" borderId="1" xfId="6" applyNumberFormat="1" applyFont="1" applyBorder="1" applyAlignment="1">
      <alignment horizontal="center" vertical="center"/>
    </xf>
    <xf numFmtId="0" fontId="19" fillId="0" borderId="34" xfId="6" applyFont="1" applyBorder="1"/>
    <xf numFmtId="0" fontId="18" fillId="2" borderId="2" xfId="6" applyFont="1" applyFill="1" applyBorder="1" applyAlignment="1">
      <alignment horizontal="center" vertical="center"/>
    </xf>
    <xf numFmtId="6" fontId="19" fillId="0" borderId="2" xfId="6" applyNumberFormat="1" applyFont="1" applyBorder="1" applyAlignment="1">
      <alignment horizontal="center" vertical="center"/>
    </xf>
    <xf numFmtId="0" fontId="19" fillId="0" borderId="10" xfId="6" applyFont="1" applyBorder="1" applyAlignment="1">
      <alignment horizontal="left"/>
    </xf>
    <xf numFmtId="3" fontId="10" fillId="0" borderId="1" xfId="0" applyNumberFormat="1"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0" fillId="0" borderId="9" xfId="0" applyFont="1" applyBorder="1" applyAlignment="1">
      <alignment horizontal="left" vertical="center" wrapText="1"/>
    </xf>
    <xf numFmtId="6" fontId="18" fillId="7" borderId="3" xfId="6" applyNumberFormat="1" applyFont="1" applyFill="1" applyBorder="1" applyAlignment="1">
      <alignment horizontal="center" vertical="center"/>
    </xf>
    <xf numFmtId="6" fontId="18" fillId="7" borderId="4" xfId="6" applyNumberFormat="1" applyFont="1" applyFill="1" applyBorder="1" applyAlignment="1">
      <alignment horizontal="center" vertical="center"/>
    </xf>
    <xf numFmtId="0" fontId="25" fillId="0" borderId="0" xfId="0" applyFont="1"/>
    <xf numFmtId="0" fontId="19" fillId="0" borderId="41" xfId="6" applyFont="1" applyBorder="1" applyAlignment="1">
      <alignment horizontal="left"/>
    </xf>
    <xf numFmtId="6" fontId="19" fillId="0" borderId="43" xfId="6" applyNumberFormat="1" applyFont="1" applyBorder="1" applyAlignment="1">
      <alignment horizontal="center" vertical="center"/>
    </xf>
    <xf numFmtId="3" fontId="6" fillId="3" borderId="1" xfId="0" applyNumberFormat="1" applyFont="1" applyFill="1" applyBorder="1" applyAlignment="1">
      <alignment horizontal="center" vertical="center"/>
    </xf>
    <xf numFmtId="167" fontId="6" fillId="3" borderId="47" xfId="0" applyNumberFormat="1" applyFont="1" applyFill="1" applyBorder="1" applyAlignment="1">
      <alignment horizontal="left" vertical="center"/>
    </xf>
    <xf numFmtId="167" fontId="6" fillId="3" borderId="27" xfId="0" applyNumberFormat="1" applyFont="1" applyFill="1" applyBorder="1" applyAlignment="1">
      <alignment horizontal="center" vertical="center"/>
    </xf>
    <xf numFmtId="3" fontId="6" fillId="3" borderId="27" xfId="0" applyNumberFormat="1" applyFont="1" applyFill="1" applyBorder="1" applyAlignment="1">
      <alignment horizontal="center" vertical="center"/>
    </xf>
    <xf numFmtId="164" fontId="6" fillId="3" borderId="27" xfId="0" applyNumberFormat="1" applyFont="1" applyFill="1" applyBorder="1" applyAlignment="1">
      <alignment horizontal="center" vertical="center"/>
    </xf>
    <xf numFmtId="0" fontId="6" fillId="3" borderId="32" xfId="0" applyFont="1" applyFill="1" applyBorder="1"/>
    <xf numFmtId="3" fontId="6" fillId="3" borderId="32" xfId="0" applyNumberFormat="1" applyFont="1" applyFill="1" applyBorder="1" applyAlignment="1">
      <alignment horizontal="center" vertical="center"/>
    </xf>
    <xf numFmtId="0" fontId="6" fillId="3" borderId="0" xfId="0" applyFont="1" applyFill="1" applyAlignment="1">
      <alignment vertical="center"/>
    </xf>
    <xf numFmtId="0" fontId="22" fillId="3" borderId="0" xfId="0" applyFont="1" applyFill="1" applyAlignment="1">
      <alignment vertical="center"/>
    </xf>
    <xf numFmtId="0" fontId="6" fillId="0" borderId="1" xfId="0" applyFont="1" applyBorder="1" applyAlignment="1">
      <alignment horizontal="center" wrapText="1"/>
    </xf>
    <xf numFmtId="3" fontId="6" fillId="0" borderId="1" xfId="0" applyNumberFormat="1" applyFont="1" applyBorder="1" applyAlignment="1">
      <alignment horizontal="center"/>
    </xf>
    <xf numFmtId="5" fontId="6" fillId="3" borderId="1" xfId="0" applyNumberFormat="1" applyFont="1" applyFill="1" applyBorder="1" applyAlignment="1">
      <alignment horizontal="center" vertical="center"/>
    </xf>
    <xf numFmtId="3" fontId="6" fillId="0" borderId="20" xfId="0" applyNumberFormat="1" applyFont="1" applyBorder="1" applyAlignment="1">
      <alignment horizontal="center" vertical="center"/>
    </xf>
    <xf numFmtId="3" fontId="1" fillId="0" borderId="11" xfId="0" quotePrefix="1" applyNumberFormat="1" applyFont="1" applyBorder="1" applyAlignment="1">
      <alignment horizontal="center"/>
    </xf>
    <xf numFmtId="37" fontId="5" fillId="0" borderId="19" xfId="0" applyNumberFormat="1" applyFont="1" applyBorder="1" applyAlignment="1" applyProtection="1">
      <alignment horizontal="center" vertical="center"/>
      <protection locked="0"/>
    </xf>
    <xf numFmtId="168" fontId="5" fillId="0" borderId="24" xfId="0" applyNumberFormat="1" applyFont="1" applyBorder="1" applyAlignment="1" applyProtection="1">
      <alignment horizontal="center" vertical="center"/>
      <protection locked="0"/>
    </xf>
    <xf numFmtId="6" fontId="28" fillId="0" borderId="1" xfId="0" applyNumberFormat="1" applyFont="1" applyBorder="1" applyAlignment="1">
      <alignment horizontal="center" vertical="center" wrapText="1"/>
    </xf>
    <xf numFmtId="0" fontId="26" fillId="0" borderId="0" xfId="0" applyFont="1"/>
    <xf numFmtId="0" fontId="29" fillId="0" borderId="1" xfId="0" applyFont="1" applyBorder="1" applyAlignment="1">
      <alignment horizontal="left"/>
    </xf>
    <xf numFmtId="1" fontId="28" fillId="0" borderId="1" xfId="0" applyNumberFormat="1" applyFont="1" applyBorder="1" applyAlignment="1">
      <alignment horizontal="center" vertical="center" wrapText="1"/>
    </xf>
    <xf numFmtId="0" fontId="28" fillId="0" borderId="42" xfId="0" applyFont="1" applyBorder="1" applyAlignment="1">
      <alignment horizontal="center" vertical="center" wrapText="1"/>
    </xf>
    <xf numFmtId="0" fontId="28" fillId="0" borderId="11" xfId="0" applyFont="1" applyBorder="1" applyAlignment="1">
      <alignment horizontal="center" vertical="center" wrapText="1"/>
    </xf>
    <xf numFmtId="0" fontId="10" fillId="0" borderId="1" xfId="0" applyFont="1" applyBorder="1"/>
    <xf numFmtId="0" fontId="17" fillId="2" borderId="7" xfId="0" applyFont="1" applyFill="1" applyBorder="1" applyAlignment="1">
      <alignment horizontal="center" vertical="center"/>
    </xf>
    <xf numFmtId="0" fontId="17" fillId="2" borderId="7" xfId="0" quotePrefix="1" applyFont="1" applyFill="1" applyBorder="1" applyAlignment="1">
      <alignment horizontal="center" vertical="center"/>
    </xf>
    <xf numFmtId="0" fontId="17" fillId="2" borderId="8" xfId="0" applyFont="1" applyFill="1" applyBorder="1" applyAlignment="1">
      <alignment horizontal="center" vertical="center"/>
    </xf>
    <xf numFmtId="0" fontId="10" fillId="0" borderId="2" xfId="0" applyFont="1" applyBorder="1"/>
    <xf numFmtId="0" fontId="30" fillId="0" borderId="1" xfId="0" applyFont="1" applyBorder="1" applyAlignment="1">
      <alignment horizontal="center" vertical="center" wrapText="1"/>
    </xf>
    <xf numFmtId="1" fontId="30" fillId="0" borderId="1" xfId="0" applyNumberFormat="1" applyFont="1" applyBorder="1" applyAlignment="1">
      <alignment horizontal="center" vertical="center" wrapText="1"/>
    </xf>
    <xf numFmtId="1" fontId="6" fillId="0" borderId="1" xfId="0" applyNumberFormat="1" applyFont="1" applyBorder="1" applyAlignment="1">
      <alignment horizontal="center" wrapText="1"/>
    </xf>
    <xf numFmtId="3" fontId="6" fillId="0" borderId="1" xfId="0" applyNumberFormat="1" applyFont="1" applyBorder="1" applyAlignment="1">
      <alignment horizontal="center" wrapText="1"/>
    </xf>
    <xf numFmtId="0" fontId="6" fillId="0" borderId="1" xfId="0" applyFont="1" applyBorder="1"/>
    <xf numFmtId="0" fontId="6" fillId="0" borderId="1" xfId="0" applyFont="1" applyBorder="1" applyAlignment="1">
      <alignment horizontal="left" indent="2"/>
    </xf>
    <xf numFmtId="0" fontId="6" fillId="0" borderId="1" xfId="0" applyFont="1" applyBorder="1" applyAlignment="1">
      <alignment horizontal="left" wrapText="1" indent="4"/>
    </xf>
    <xf numFmtId="0" fontId="6" fillId="0" borderId="1" xfId="0" applyFont="1" applyBorder="1" applyAlignment="1">
      <alignment horizontal="left" indent="6"/>
    </xf>
    <xf numFmtId="0" fontId="6" fillId="0" borderId="1" xfId="0" applyFont="1" applyBorder="1" applyAlignment="1">
      <alignment horizontal="left" indent="4"/>
    </xf>
    <xf numFmtId="0" fontId="12" fillId="0" borderId="1" xfId="0" applyFont="1" applyBorder="1"/>
    <xf numFmtId="0" fontId="6" fillId="3" borderId="50" xfId="0" applyFont="1" applyFill="1" applyBorder="1"/>
    <xf numFmtId="0" fontId="6" fillId="3" borderId="51" xfId="0" applyFont="1" applyFill="1" applyBorder="1"/>
    <xf numFmtId="0" fontId="6" fillId="3" borderId="17" xfId="0" applyFont="1" applyFill="1" applyBorder="1"/>
    <xf numFmtId="167" fontId="6" fillId="3" borderId="27" xfId="0" applyNumberFormat="1" applyFont="1" applyFill="1" applyBorder="1" applyAlignment="1">
      <alignment horizontal="left" vertical="center"/>
    </xf>
    <xf numFmtId="164" fontId="6" fillId="3" borderId="32" xfId="0" applyNumberFormat="1" applyFont="1" applyFill="1" applyBorder="1" applyAlignment="1">
      <alignment horizontal="center" vertical="center"/>
    </xf>
    <xf numFmtId="0" fontId="13" fillId="3" borderId="11" xfId="0" applyFont="1" applyFill="1" applyBorder="1" applyAlignment="1">
      <alignment vertical="center"/>
    </xf>
    <xf numFmtId="0" fontId="6" fillId="3" borderId="11" xfId="0" applyFont="1" applyFill="1" applyBorder="1" applyAlignment="1">
      <alignment horizontal="center" vertical="center"/>
    </xf>
    <xf numFmtId="0" fontId="12" fillId="0" borderId="15" xfId="0" applyFont="1" applyBorder="1"/>
    <xf numFmtId="0" fontId="6" fillId="0" borderId="15" xfId="0" applyFont="1" applyBorder="1" applyAlignment="1">
      <alignment horizontal="center"/>
    </xf>
    <xf numFmtId="167" fontId="1" fillId="3" borderId="15" xfId="0" applyNumberFormat="1" applyFont="1" applyFill="1" applyBorder="1" applyAlignment="1">
      <alignment horizontal="center"/>
    </xf>
    <xf numFmtId="167" fontId="1" fillId="3" borderId="15" xfId="0" applyNumberFormat="1" applyFont="1" applyFill="1" applyBorder="1" applyAlignment="1">
      <alignment horizontal="center" wrapText="1"/>
    </xf>
    <xf numFmtId="167" fontId="1" fillId="3" borderId="11" xfId="0" applyNumberFormat="1" applyFont="1" applyFill="1" applyBorder="1" applyAlignment="1">
      <alignment horizontal="center"/>
    </xf>
    <xf numFmtId="167" fontId="1" fillId="3" borderId="1" xfId="0" applyNumberFormat="1" applyFont="1" applyFill="1" applyBorder="1" applyAlignment="1">
      <alignment horizontal="center"/>
    </xf>
    <xf numFmtId="164" fontId="1" fillId="0" borderId="1" xfId="0" applyNumberFormat="1" applyFont="1" applyBorder="1" applyAlignment="1">
      <alignment horizontal="center"/>
    </xf>
    <xf numFmtId="0" fontId="14" fillId="4" borderId="50" xfId="0" applyFont="1" applyFill="1" applyBorder="1"/>
    <xf numFmtId="0" fontId="14" fillId="4" borderId="21" xfId="0" applyFont="1" applyFill="1" applyBorder="1"/>
    <xf numFmtId="167" fontId="1" fillId="0" borderId="15" xfId="0" applyNumberFormat="1" applyFont="1" applyBorder="1" applyAlignment="1">
      <alignment horizontal="center" wrapText="1"/>
    </xf>
    <xf numFmtId="167" fontId="5" fillId="3" borderId="48" xfId="0" applyNumberFormat="1" applyFont="1" applyFill="1" applyBorder="1" applyAlignment="1">
      <alignment horizontal="centerContinuous"/>
    </xf>
    <xf numFmtId="167" fontId="5" fillId="3" borderId="29" xfId="0" applyNumberFormat="1" applyFont="1" applyFill="1" applyBorder="1" applyAlignment="1">
      <alignment horizontal="centerContinuous"/>
    </xf>
    <xf numFmtId="167" fontId="24" fillId="3" borderId="30" xfId="0" applyNumberFormat="1" applyFont="1" applyFill="1" applyBorder="1" applyAlignment="1">
      <alignment horizontal="center" vertical="center"/>
    </xf>
    <xf numFmtId="167" fontId="24" fillId="3" borderId="52" xfId="0" applyNumberFormat="1" applyFont="1" applyFill="1" applyBorder="1" applyAlignment="1">
      <alignment horizontal="center" vertical="center"/>
    </xf>
    <xf numFmtId="167" fontId="24" fillId="3" borderId="49" xfId="0" applyNumberFormat="1" applyFont="1" applyFill="1" applyBorder="1" applyAlignment="1">
      <alignment horizontal="center" vertical="center"/>
    </xf>
    <xf numFmtId="167" fontId="24" fillId="3" borderId="42" xfId="0" applyNumberFormat="1" applyFont="1" applyFill="1" applyBorder="1" applyAlignment="1">
      <alignment horizontal="center" vertical="center"/>
    </xf>
    <xf numFmtId="167" fontId="5" fillId="3" borderId="53" xfId="0" applyNumberFormat="1" applyFont="1" applyFill="1" applyBorder="1" applyAlignment="1">
      <alignment horizontal="center" vertical="center"/>
    </xf>
    <xf numFmtId="167" fontId="5" fillId="3" borderId="50" xfId="0" applyNumberFormat="1" applyFont="1" applyFill="1" applyBorder="1" applyAlignment="1">
      <alignment horizontal="center" vertical="center"/>
    </xf>
    <xf numFmtId="167" fontId="5" fillId="3" borderId="47" xfId="0" applyNumberFormat="1" applyFont="1" applyFill="1" applyBorder="1" applyAlignment="1">
      <alignment horizontal="center" vertical="center"/>
    </xf>
    <xf numFmtId="166" fontId="15" fillId="3" borderId="50" xfId="0" applyNumberFormat="1" applyFont="1" applyFill="1" applyBorder="1" applyAlignment="1" applyProtection="1">
      <alignment vertical="center"/>
      <protection locked="0"/>
    </xf>
    <xf numFmtId="166" fontId="15" fillId="3" borderId="54" xfId="0" applyNumberFormat="1" applyFont="1" applyFill="1" applyBorder="1" applyAlignment="1" applyProtection="1">
      <alignment vertical="center"/>
      <protection locked="0"/>
    </xf>
    <xf numFmtId="166" fontId="15" fillId="3" borderId="47" xfId="0" applyNumberFormat="1" applyFont="1" applyFill="1" applyBorder="1" applyAlignment="1" applyProtection="1">
      <alignment vertical="center"/>
      <protection locked="0"/>
    </xf>
    <xf numFmtId="166" fontId="15" fillId="3" borderId="51" xfId="0" applyNumberFormat="1" applyFont="1" applyFill="1" applyBorder="1" applyAlignment="1" applyProtection="1">
      <alignment vertical="center"/>
      <protection locked="0"/>
    </xf>
    <xf numFmtId="167" fontId="5" fillId="3" borderId="51" xfId="0" applyNumberFormat="1" applyFont="1" applyFill="1" applyBorder="1" applyAlignment="1">
      <alignment horizontal="center" vertical="center"/>
    </xf>
    <xf numFmtId="167" fontId="2" fillId="3" borderId="46" xfId="0" quotePrefix="1" applyNumberFormat="1" applyFont="1" applyFill="1" applyBorder="1" applyAlignment="1" applyProtection="1">
      <alignment horizontal="center" vertical="center"/>
      <protection locked="0"/>
    </xf>
    <xf numFmtId="9" fontId="5" fillId="3" borderId="51" xfId="0" applyNumberFormat="1" applyFont="1" applyFill="1" applyBorder="1" applyAlignment="1">
      <alignment vertical="center"/>
    </xf>
    <xf numFmtId="9" fontId="5" fillId="3" borderId="17" xfId="0" applyNumberFormat="1" applyFont="1" applyFill="1" applyBorder="1" applyAlignment="1">
      <alignment vertical="center"/>
    </xf>
    <xf numFmtId="167" fontId="5" fillId="3" borderId="17" xfId="0" applyNumberFormat="1" applyFont="1" applyFill="1" applyBorder="1" applyAlignment="1">
      <alignment vertical="center"/>
    </xf>
    <xf numFmtId="168" fontId="15" fillId="3" borderId="17" xfId="0" applyNumberFormat="1" applyFont="1" applyFill="1" applyBorder="1" applyAlignment="1" applyProtection="1">
      <alignment horizontal="center" vertical="center"/>
      <protection locked="0"/>
    </xf>
    <xf numFmtId="1" fontId="5" fillId="3" borderId="55" xfId="0" applyNumberFormat="1" applyFont="1" applyFill="1" applyBorder="1" applyAlignment="1">
      <alignment horizontal="center" vertical="center"/>
    </xf>
    <xf numFmtId="1" fontId="5" fillId="3" borderId="16" xfId="0" applyNumberFormat="1" applyFont="1" applyFill="1" applyBorder="1" applyAlignment="1">
      <alignment horizontal="center" vertical="center"/>
    </xf>
    <xf numFmtId="5" fontId="5" fillId="3" borderId="11" xfId="0" applyNumberFormat="1" applyFont="1" applyFill="1" applyBorder="1" applyAlignment="1">
      <alignment horizontal="center" vertical="center"/>
    </xf>
    <xf numFmtId="1" fontId="10" fillId="0" borderId="0" xfId="0" applyNumberFormat="1" applyFont="1"/>
    <xf numFmtId="3" fontId="12" fillId="0" borderId="1" xfId="0" applyNumberFormat="1" applyFont="1" applyBorder="1" applyAlignment="1">
      <alignment horizontal="center"/>
    </xf>
    <xf numFmtId="164" fontId="12" fillId="0" borderId="1" xfId="0" applyNumberFormat="1" applyFont="1" applyBorder="1" applyAlignment="1">
      <alignment horizontal="center"/>
    </xf>
    <xf numFmtId="3" fontId="12" fillId="0" borderId="15" xfId="0" applyNumberFormat="1" applyFont="1" applyBorder="1" applyAlignment="1">
      <alignment horizontal="center"/>
    </xf>
    <xf numFmtId="164" fontId="12" fillId="0" borderId="15" xfId="0" applyNumberFormat="1" applyFont="1" applyBorder="1" applyAlignment="1">
      <alignment horizontal="center"/>
    </xf>
    <xf numFmtId="3" fontId="13" fillId="3" borderId="11" xfId="0" applyNumberFormat="1" applyFont="1" applyFill="1" applyBorder="1" applyAlignment="1">
      <alignment horizontal="center" vertical="center"/>
    </xf>
    <xf numFmtId="164" fontId="13" fillId="3" borderId="11" xfId="0" applyNumberFormat="1" applyFont="1" applyFill="1" applyBorder="1" applyAlignment="1">
      <alignment horizontal="center" vertical="center"/>
    </xf>
    <xf numFmtId="3" fontId="22" fillId="3" borderId="0" xfId="0" applyNumberFormat="1" applyFont="1" applyFill="1"/>
    <xf numFmtId="6" fontId="10" fillId="0" borderId="0" xfId="0" applyNumberFormat="1" applyFont="1"/>
    <xf numFmtId="0" fontId="31" fillId="0" borderId="1" xfId="0" applyFont="1" applyBorder="1" applyAlignment="1">
      <alignment horizontal="left" vertical="center" wrapText="1" indent="1"/>
    </xf>
    <xf numFmtId="0" fontId="34" fillId="0" borderId="1" xfId="0" applyFont="1" applyBorder="1" applyAlignment="1">
      <alignment horizontal="left"/>
    </xf>
    <xf numFmtId="6" fontId="35" fillId="0" borderId="1" xfId="0" applyNumberFormat="1" applyFont="1" applyBorder="1" applyAlignment="1">
      <alignment horizontal="center" vertical="center" wrapText="1"/>
    </xf>
    <xf numFmtId="1" fontId="35"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6" fillId="0" borderId="0" xfId="0" applyFont="1"/>
    <xf numFmtId="0" fontId="38" fillId="0" borderId="1" xfId="0" applyFont="1" applyBorder="1" applyAlignment="1">
      <alignment horizontal="center" vertical="center" wrapText="1"/>
    </xf>
    <xf numFmtId="0" fontId="6" fillId="0" borderId="1" xfId="0" applyFont="1" applyBorder="1" applyAlignment="1">
      <alignment horizontal="left" wrapText="1" indent="6"/>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29" fillId="0" borderId="1" xfId="0" applyFont="1" applyBorder="1" applyAlignment="1">
      <alignment horizontal="left" wrapText="1"/>
    </xf>
    <xf numFmtId="0" fontId="10" fillId="8" borderId="9" xfId="0" applyFont="1" applyFill="1" applyBorder="1"/>
    <xf numFmtId="0" fontId="10" fillId="8" borderId="1" xfId="0" applyFont="1" applyFill="1" applyBorder="1"/>
    <xf numFmtId="0" fontId="10" fillId="0" borderId="3" xfId="0" applyFont="1" applyBorder="1"/>
    <xf numFmtId="0" fontId="10" fillId="0" borderId="4" xfId="0" applyFont="1" applyBorder="1"/>
    <xf numFmtId="0" fontId="10" fillId="8" borderId="1" xfId="0" applyFont="1" applyFill="1" applyBorder="1" applyAlignment="1">
      <alignment horizontal="center" vertical="center" wrapText="1"/>
    </xf>
    <xf numFmtId="0" fontId="10" fillId="0" borderId="56" xfId="0" applyFont="1" applyBorder="1"/>
    <xf numFmtId="0" fontId="17" fillId="2" borderId="57" xfId="0" applyFont="1" applyFill="1" applyBorder="1" applyAlignment="1">
      <alignment horizontal="center" vertical="center"/>
    </xf>
    <xf numFmtId="0" fontId="17" fillId="2" borderId="57" xfId="0" quotePrefix="1" applyFont="1" applyFill="1" applyBorder="1" applyAlignment="1">
      <alignment horizontal="center" vertical="center"/>
    </xf>
    <xf numFmtId="0" fontId="17" fillId="2" borderId="58" xfId="0" applyFont="1" applyFill="1" applyBorder="1" applyAlignment="1">
      <alignment horizontal="center" vertical="center"/>
    </xf>
    <xf numFmtId="0" fontId="10" fillId="8" borderId="59" xfId="0" applyFont="1" applyFill="1" applyBorder="1"/>
    <xf numFmtId="0" fontId="10" fillId="8" borderId="60" xfId="0" applyFont="1" applyFill="1" applyBorder="1"/>
    <xf numFmtId="0" fontId="10" fillId="0" borderId="60" xfId="0" applyFont="1" applyBorder="1"/>
    <xf numFmtId="0" fontId="10" fillId="0" borderId="61" xfId="0" applyFont="1" applyBorder="1"/>
    <xf numFmtId="2" fontId="10" fillId="0" borderId="0" xfId="0" applyNumberFormat="1" applyFont="1"/>
    <xf numFmtId="0" fontId="18" fillId="0" borderId="41" xfId="6" applyFont="1" applyBorder="1" applyAlignment="1">
      <alignment horizontal="left"/>
    </xf>
    <xf numFmtId="6" fontId="18" fillId="0" borderId="1" xfId="6" applyNumberFormat="1" applyFont="1" applyBorder="1" applyAlignment="1">
      <alignment horizontal="center" vertical="center"/>
    </xf>
    <xf numFmtId="6" fontId="18" fillId="0" borderId="43" xfId="6" applyNumberFormat="1" applyFont="1" applyBorder="1" applyAlignment="1">
      <alignment horizontal="center" vertical="center"/>
    </xf>
    <xf numFmtId="6" fontId="18" fillId="0" borderId="4" xfId="6" applyNumberFormat="1" applyFont="1" applyBorder="1" applyAlignment="1">
      <alignment horizontal="center" vertical="center"/>
    </xf>
    <xf numFmtId="0" fontId="10" fillId="0" borderId="10" xfId="0" applyFont="1" applyBorder="1"/>
    <xf numFmtId="0" fontId="17" fillId="0" borderId="8" xfId="0" applyFont="1" applyBorder="1"/>
    <xf numFmtId="0" fontId="21" fillId="0" borderId="6" xfId="0" applyFont="1" applyBorder="1"/>
    <xf numFmtId="0" fontId="17" fillId="2" borderId="9" xfId="0" applyFont="1" applyFill="1" applyBorder="1"/>
    <xf numFmtId="0" fontId="17" fillId="2" borderId="2" xfId="0" applyFont="1" applyFill="1" applyBorder="1"/>
    <xf numFmtId="6" fontId="17" fillId="9" borderId="2" xfId="0" applyNumberFormat="1" applyFont="1" applyFill="1" applyBorder="1"/>
    <xf numFmtId="6" fontId="17" fillId="9" borderId="4" xfId="0" applyNumberFormat="1" applyFont="1" applyFill="1" applyBorder="1"/>
    <xf numFmtId="0" fontId="19" fillId="0" borderId="41" xfId="6" applyFont="1" applyBorder="1" applyAlignment="1">
      <alignment horizontal="left" wrapText="1"/>
    </xf>
    <xf numFmtId="49" fontId="19" fillId="0" borderId="1" xfId="6" applyNumberFormat="1" applyFont="1" applyBorder="1"/>
    <xf numFmtId="0" fontId="18" fillId="2" borderId="1" xfId="6" applyFont="1" applyFill="1" applyBorder="1" applyAlignment="1">
      <alignment horizontal="center" wrapText="1"/>
    </xf>
    <xf numFmtId="17" fontId="18" fillId="2" borderId="1" xfId="6" applyNumberFormat="1" applyFont="1" applyFill="1" applyBorder="1" applyAlignment="1">
      <alignment horizontal="center" wrapText="1"/>
    </xf>
    <xf numFmtId="0" fontId="8" fillId="0" borderId="38" xfId="4" applyBorder="1" applyAlignment="1" applyProtection="1"/>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0" fontId="19" fillId="10" borderId="6" xfId="0" applyFont="1" applyFill="1" applyBorder="1"/>
    <xf numFmtId="0" fontId="19" fillId="10" borderId="7" xfId="0" applyFont="1" applyFill="1" applyBorder="1"/>
    <xf numFmtId="0" fontId="19" fillId="10" borderId="8" xfId="0" applyFont="1" applyFill="1" applyBorder="1"/>
    <xf numFmtId="0" fontId="10" fillId="10" borderId="41" xfId="0" applyFont="1" applyFill="1" applyBorder="1"/>
    <xf numFmtId="0" fontId="10" fillId="10" borderId="42" xfId="0" applyFont="1" applyFill="1" applyBorder="1"/>
    <xf numFmtId="0" fontId="10" fillId="10" borderId="1" xfId="0" applyFont="1" applyFill="1" applyBorder="1"/>
    <xf numFmtId="0" fontId="10" fillId="10" borderId="2" xfId="0" applyFont="1" applyFill="1" applyBorder="1"/>
    <xf numFmtId="0" fontId="21" fillId="0" borderId="0" xfId="0" applyFont="1"/>
    <xf numFmtId="0" fontId="17" fillId="0" borderId="0" xfId="0" applyFont="1" applyAlignment="1">
      <alignment horizontal="center" vertical="center" wrapText="1"/>
    </xf>
    <xf numFmtId="0" fontId="19" fillId="0" borderId="0" xfId="6" applyFont="1" applyAlignment="1">
      <alignment horizontal="left"/>
    </xf>
    <xf numFmtId="6" fontId="19" fillId="0" borderId="0" xfId="6" applyNumberFormat="1" applyFont="1" applyAlignment="1">
      <alignment horizontal="center" vertical="center"/>
    </xf>
    <xf numFmtId="0" fontId="10" fillId="0" borderId="0" xfId="0" applyFont="1" applyAlignment="1">
      <alignment horizontal="center" vertical="center" wrapText="1"/>
    </xf>
    <xf numFmtId="6" fontId="18" fillId="0" borderId="0" xfId="6" applyNumberFormat="1" applyFont="1" applyAlignment="1">
      <alignment horizontal="center" vertical="center"/>
    </xf>
    <xf numFmtId="0" fontId="19" fillId="0" borderId="62" xfId="6" applyFont="1" applyBorder="1" applyAlignment="1">
      <alignment horizontal="left"/>
    </xf>
    <xf numFmtId="0" fontId="19" fillId="0" borderId="27" xfId="6" applyFont="1" applyBorder="1" applyAlignment="1">
      <alignment horizontal="left"/>
    </xf>
    <xf numFmtId="0" fontId="19" fillId="0" borderId="63" xfId="6" applyFont="1" applyBorder="1" applyAlignment="1">
      <alignment horizontal="left"/>
    </xf>
    <xf numFmtId="0" fontId="32" fillId="0" borderId="1" xfId="0" applyFont="1" applyBorder="1" applyAlignment="1">
      <alignment horizontal="center" vertical="center"/>
    </xf>
    <xf numFmtId="0" fontId="37" fillId="0" borderId="47" xfId="0" applyFont="1" applyBorder="1" applyAlignment="1">
      <alignment horizontal="left" vertical="center" wrapText="1"/>
    </xf>
    <xf numFmtId="0" fontId="37" fillId="0" borderId="27" xfId="0" applyFont="1" applyBorder="1" applyAlignment="1">
      <alignment horizontal="left" vertical="center" wrapText="1"/>
    </xf>
    <xf numFmtId="0" fontId="37" fillId="0" borderId="32" xfId="0" applyFont="1" applyBorder="1" applyAlignment="1">
      <alignment horizontal="left" vertical="center" wrapText="1"/>
    </xf>
    <xf numFmtId="0" fontId="27" fillId="0" borderId="42" xfId="0" applyFont="1" applyBorder="1" applyAlignment="1">
      <alignment horizontal="center" vertical="center" wrapText="1"/>
    </xf>
    <xf numFmtId="0" fontId="31" fillId="0" borderId="47" xfId="0" applyFont="1" applyBorder="1" applyAlignment="1">
      <alignment horizontal="left" vertical="center" wrapText="1"/>
    </xf>
    <xf numFmtId="0" fontId="31" fillId="0" borderId="27" xfId="0" applyFont="1" applyBorder="1" applyAlignment="1">
      <alignment horizontal="left" vertical="center" wrapText="1"/>
    </xf>
    <xf numFmtId="0" fontId="31" fillId="0" borderId="32" xfId="0" applyFont="1" applyBorder="1" applyAlignment="1">
      <alignment horizontal="left" vertical="center" wrapText="1"/>
    </xf>
    <xf numFmtId="0" fontId="6" fillId="3" borderId="0" xfId="0" applyFont="1" applyFill="1" applyAlignment="1">
      <alignment horizontal="left" vertical="top" wrapText="1"/>
    </xf>
    <xf numFmtId="167" fontId="4" fillId="3" borderId="0" xfId="0" applyNumberFormat="1" applyFont="1" applyFill="1" applyAlignment="1">
      <alignment horizontal="center" vertical="top" wrapText="1"/>
    </xf>
    <xf numFmtId="0" fontId="6" fillId="3" borderId="0" xfId="0" applyFont="1" applyFill="1" applyAlignment="1">
      <alignment horizontal="left" wrapText="1"/>
    </xf>
    <xf numFmtId="0" fontId="6" fillId="0" borderId="0" xfId="0" applyFont="1" applyAlignment="1">
      <alignment horizontal="left" vertical="top" wrapText="1"/>
    </xf>
    <xf numFmtId="167" fontId="4" fillId="3" borderId="0" xfId="0" applyNumberFormat="1" applyFont="1" applyFill="1" applyAlignment="1">
      <alignment horizontal="center" wrapText="1"/>
    </xf>
    <xf numFmtId="167" fontId="5" fillId="3" borderId="18" xfId="0" applyNumberFormat="1" applyFont="1" applyFill="1" applyBorder="1" applyAlignment="1">
      <alignment horizontal="left" vertical="center" wrapText="1"/>
    </xf>
    <xf numFmtId="167" fontId="5" fillId="3" borderId="18" xfId="0" applyNumberFormat="1" applyFont="1" applyFill="1" applyBorder="1" applyAlignment="1">
      <alignment vertical="center" wrapText="1"/>
    </xf>
    <xf numFmtId="167" fontId="5" fillId="3" borderId="22" xfId="0" applyNumberFormat="1" applyFont="1" applyFill="1" applyBorder="1" applyAlignment="1">
      <alignment vertical="center" wrapText="1"/>
    </xf>
    <xf numFmtId="0" fontId="5" fillId="3" borderId="26"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167" fontId="16" fillId="3" borderId="0" xfId="0" applyNumberFormat="1" applyFont="1" applyFill="1" applyAlignment="1">
      <alignment horizontal="center" wrapText="1"/>
    </xf>
    <xf numFmtId="167" fontId="5" fillId="3" borderId="46" xfId="0" applyNumberFormat="1" applyFont="1" applyFill="1" applyBorder="1" applyAlignment="1">
      <alignment horizontal="center"/>
    </xf>
    <xf numFmtId="167" fontId="5" fillId="3" borderId="35" xfId="0" applyNumberFormat="1" applyFont="1" applyFill="1" applyBorder="1" applyAlignment="1">
      <alignment horizontal="center"/>
    </xf>
    <xf numFmtId="167" fontId="5" fillId="3" borderId="36" xfId="0" applyNumberFormat="1" applyFont="1" applyFill="1" applyBorder="1" applyAlignment="1">
      <alignment horizontal="center"/>
    </xf>
    <xf numFmtId="167" fontId="5" fillId="3" borderId="16" xfId="0" applyNumberFormat="1" applyFont="1" applyFill="1" applyBorder="1" applyAlignment="1">
      <alignment horizontal="center" vertical="center" wrapText="1"/>
    </xf>
    <xf numFmtId="167" fontId="5" fillId="3" borderId="17" xfId="0" applyNumberFormat="1" applyFont="1" applyFill="1" applyBorder="1" applyAlignment="1">
      <alignment horizontal="center" vertical="center" wrapText="1"/>
    </xf>
    <xf numFmtId="167" fontId="5" fillId="3" borderId="64" xfId="0" applyNumberFormat="1" applyFont="1" applyFill="1" applyBorder="1" applyAlignment="1">
      <alignment horizontal="left" vertical="center"/>
    </xf>
    <xf numFmtId="167" fontId="5" fillId="3" borderId="65" xfId="0" applyNumberFormat="1" applyFont="1" applyFill="1" applyBorder="1" applyAlignment="1">
      <alignment horizontal="left" vertical="center"/>
    </xf>
    <xf numFmtId="167" fontId="14" fillId="3" borderId="1" xfId="0" applyNumberFormat="1" applyFont="1" applyFill="1" applyBorder="1" applyAlignment="1">
      <alignment horizontal="center"/>
    </xf>
    <xf numFmtId="0" fontId="5" fillId="3" borderId="30" xfId="0"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protection locked="0"/>
    </xf>
    <xf numFmtId="0" fontId="5" fillId="3" borderId="0" xfId="0" applyFont="1" applyFill="1" applyAlignment="1">
      <alignment horizontal="left"/>
    </xf>
    <xf numFmtId="167" fontId="5" fillId="3" borderId="0" xfId="0" applyNumberFormat="1" applyFont="1" applyFill="1" applyAlignment="1">
      <alignment horizontal="left" vertical="top" wrapText="1"/>
    </xf>
  </cellXfs>
  <cellStyles count="8">
    <cellStyle name="Comma" xfId="2" builtinId="3"/>
    <cellStyle name="Currency 2" xfId="7" xr:uid="{00000000-0005-0000-0000-000002000000}"/>
    <cellStyle name="Hyperlink" xfId="4" builtinId="8"/>
    <cellStyle name="Normal" xfId="0" builtinId="0"/>
    <cellStyle name="Normal 2" xfId="6" xr:uid="{00000000-0005-0000-0000-000005000000}"/>
    <cellStyle name="Normal_HMIWI EG SS" xfId="5" xr:uid="{00000000-0005-0000-0000-000007000000}"/>
    <cellStyle name="Normal_ICR Cost Inputs" xfId="1" xr:uid="{00000000-0005-0000-0000-000008000000}"/>
    <cellStyle name="Normal_Sheet1" xfId="3"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bls.gov/oes/2021/may/naics3_325000.htm"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95"/>
  <sheetViews>
    <sheetView workbookViewId="0"/>
  </sheetViews>
  <sheetFormatPr defaultColWidth="9.1796875" defaultRowHeight="13" x14ac:dyDescent="0.3"/>
  <cols>
    <col min="1" max="1" width="5" style="19" customWidth="1"/>
    <col min="2" max="2" width="31.81640625" style="19" customWidth="1"/>
    <col min="3" max="3" width="18.7265625" style="19" customWidth="1"/>
    <col min="4" max="4" width="17.453125" style="19" customWidth="1"/>
    <col min="5" max="5" width="14.7265625" style="19" bestFit="1" customWidth="1"/>
    <col min="6" max="6" width="16.54296875" style="19" customWidth="1"/>
    <col min="7" max="7" width="23.7265625" style="19" bestFit="1" customWidth="1"/>
    <col min="8" max="8" width="9.81640625" style="19" bestFit="1" customWidth="1"/>
    <col min="9" max="9" width="34.26953125" style="19" bestFit="1" customWidth="1"/>
    <col min="10" max="10" width="20.26953125" style="19" customWidth="1"/>
    <col min="11" max="12" width="12.7265625" style="19" bestFit="1" customWidth="1"/>
    <col min="13" max="13" width="38.7265625" style="19" bestFit="1" customWidth="1"/>
    <col min="14" max="16384" width="9.1796875" style="19"/>
  </cols>
  <sheetData>
    <row r="1" spans="2:14" ht="13.5" thickBot="1" x14ac:dyDescent="0.35"/>
    <row r="2" spans="2:14" ht="13.5" thickBot="1" x14ac:dyDescent="0.35">
      <c r="B2" s="108" t="s">
        <v>219</v>
      </c>
      <c r="C2" s="167" t="s">
        <v>141</v>
      </c>
      <c r="D2" s="168" t="s">
        <v>139</v>
      </c>
      <c r="E2" s="169" t="s">
        <v>140</v>
      </c>
      <c r="I2" s="247" t="s">
        <v>221</v>
      </c>
      <c r="J2" s="248" t="s">
        <v>141</v>
      </c>
      <c r="K2" s="249" t="s">
        <v>139</v>
      </c>
      <c r="L2" s="250" t="s">
        <v>140</v>
      </c>
    </row>
    <row r="3" spans="2:14" ht="13.5" thickBot="1" x14ac:dyDescent="0.35">
      <c r="B3" s="260" t="s">
        <v>220</v>
      </c>
      <c r="C3" s="244">
        <v>19</v>
      </c>
      <c r="D3" s="244">
        <f>ROUND(C3/3,0)</f>
        <v>6</v>
      </c>
      <c r="E3" s="245">
        <f>C3-D3</f>
        <v>13</v>
      </c>
      <c r="I3" s="274" t="s">
        <v>222</v>
      </c>
      <c r="J3" s="275">
        <v>1</v>
      </c>
      <c r="K3" s="275">
        <f>ROUND(J3/3,0)</f>
        <v>0</v>
      </c>
      <c r="L3" s="276">
        <f>J3-K3</f>
        <v>1</v>
      </c>
    </row>
    <row r="4" spans="2:14" x14ac:dyDescent="0.3">
      <c r="I4" s="277" t="s">
        <v>166</v>
      </c>
      <c r="J4" s="278">
        <v>1</v>
      </c>
      <c r="K4" s="279">
        <f>ROUND(J4/3,0)</f>
        <v>0</v>
      </c>
      <c r="L4" s="280">
        <f>J4-K4</f>
        <v>1</v>
      </c>
    </row>
    <row r="5" spans="2:14" x14ac:dyDescent="0.3">
      <c r="I5" s="277" t="s">
        <v>167</v>
      </c>
      <c r="J5" s="278">
        <v>1</v>
      </c>
      <c r="K5" s="279">
        <f>ROUND(J5/3,0)</f>
        <v>0</v>
      </c>
      <c r="L5" s="280">
        <f>J5-K5</f>
        <v>1</v>
      </c>
    </row>
    <row r="6" spans="2:14" x14ac:dyDescent="0.3">
      <c r="I6" s="242" t="s">
        <v>168</v>
      </c>
      <c r="J6" s="243">
        <v>1</v>
      </c>
      <c r="K6" s="166">
        <f>ROUND(J6/3,0)</f>
        <v>0</v>
      </c>
      <c r="L6" s="170">
        <f>J6-K6</f>
        <v>1</v>
      </c>
    </row>
    <row r="7" spans="2:14" ht="13.5" thickBot="1" x14ac:dyDescent="0.35">
      <c r="I7" s="251" t="s">
        <v>169</v>
      </c>
      <c r="J7" s="252">
        <v>1</v>
      </c>
      <c r="K7" s="253">
        <f>ROUND(J7/3,0)</f>
        <v>0</v>
      </c>
      <c r="L7" s="254">
        <f>J7-K7</f>
        <v>1</v>
      </c>
    </row>
    <row r="8" spans="2:14" ht="13.5" thickBot="1" x14ac:dyDescent="0.35">
      <c r="C8" s="59"/>
      <c r="D8" s="60"/>
    </row>
    <row r="9" spans="2:14" ht="14.5" x14ac:dyDescent="0.35">
      <c r="B9" s="109" t="s">
        <v>112</v>
      </c>
      <c r="C9" s="130"/>
      <c r="I9" s="105" t="s">
        <v>226</v>
      </c>
      <c r="J9" s="72"/>
      <c r="K9" s="73"/>
      <c r="M9" s="262" t="s">
        <v>227</v>
      </c>
      <c r="N9" s="261"/>
    </row>
    <row r="10" spans="2:14" x14ac:dyDescent="0.3">
      <c r="B10" s="103" t="s">
        <v>111</v>
      </c>
      <c r="C10" s="131" t="s">
        <v>113</v>
      </c>
      <c r="E10" s="19" t="s">
        <v>170</v>
      </c>
      <c r="I10" s="106" t="s">
        <v>111</v>
      </c>
      <c r="J10" s="100" t="s">
        <v>92</v>
      </c>
      <c r="K10" s="107" t="s">
        <v>110</v>
      </c>
      <c r="M10" s="263" t="s">
        <v>111</v>
      </c>
      <c r="N10" s="264" t="s">
        <v>113</v>
      </c>
    </row>
    <row r="11" spans="2:14" ht="13.5" thickBot="1" x14ac:dyDescent="0.35">
      <c r="B11" s="133" t="s">
        <v>153</v>
      </c>
      <c r="C11" s="140">
        <f>13576.425*F11</f>
        <v>17744.339856008857</v>
      </c>
      <c r="E11" s="19">
        <v>541.70000000000005</v>
      </c>
      <c r="F11" s="255">
        <f>E12/E11</f>
        <v>1.3069964925235369</v>
      </c>
      <c r="I11" s="104" t="s">
        <v>43</v>
      </c>
      <c r="J11" s="129">
        <v>10205000</v>
      </c>
      <c r="K11" s="132">
        <v>5276000</v>
      </c>
      <c r="M11" s="71" t="s">
        <v>149</v>
      </c>
      <c r="N11" s="265">
        <v>23200</v>
      </c>
    </row>
    <row r="12" spans="2:14" x14ac:dyDescent="0.3">
      <c r="E12" s="19">
        <v>708</v>
      </c>
      <c r="G12" s="228"/>
      <c r="I12" s="142" t="s">
        <v>186</v>
      </c>
      <c r="J12" s="246">
        <v>7</v>
      </c>
      <c r="K12" s="143"/>
      <c r="M12" s="71" t="s">
        <v>150</v>
      </c>
      <c r="N12" s="265">
        <v>4900</v>
      </c>
    </row>
    <row r="13" spans="2:14" ht="13.5" thickBot="1" x14ac:dyDescent="0.35">
      <c r="I13" s="133" t="s">
        <v>153</v>
      </c>
      <c r="J13" s="139">
        <f>J11/J12</f>
        <v>1457857.142857143</v>
      </c>
      <c r="K13" s="139">
        <f>K11/J12</f>
        <v>753714.28571428568</v>
      </c>
      <c r="L13" s="141"/>
      <c r="M13" s="71" t="s">
        <v>193</v>
      </c>
      <c r="N13" s="265">
        <v>38302</v>
      </c>
    </row>
    <row r="14" spans="2:14" ht="15" thickBot="1" x14ac:dyDescent="0.4">
      <c r="B14" s="105" t="s">
        <v>154</v>
      </c>
      <c r="C14" s="72"/>
      <c r="D14" s="72"/>
      <c r="E14" s="72"/>
      <c r="F14" s="72"/>
      <c r="G14" s="73"/>
      <c r="I14" s="133"/>
      <c r="J14" s="259"/>
      <c r="M14" s="260" t="s">
        <v>194</v>
      </c>
      <c r="N14" s="266">
        <v>19151</v>
      </c>
    </row>
    <row r="15" spans="2:14" ht="26" x14ac:dyDescent="0.3">
      <c r="B15" s="136" t="s">
        <v>126</v>
      </c>
      <c r="C15" s="135" t="s">
        <v>114</v>
      </c>
      <c r="D15" s="135" t="s">
        <v>115</v>
      </c>
      <c r="E15" s="135" t="s">
        <v>116</v>
      </c>
      <c r="F15" s="135" t="s">
        <v>124</v>
      </c>
      <c r="G15" s="137" t="s">
        <v>125</v>
      </c>
    </row>
    <row r="16" spans="2:14" ht="14.5" x14ac:dyDescent="0.35">
      <c r="B16" s="138" t="s">
        <v>123</v>
      </c>
      <c r="C16" s="134">
        <v>46000</v>
      </c>
      <c r="D16" s="134">
        <v>29600</v>
      </c>
      <c r="E16" s="246">
        <v>2</v>
      </c>
      <c r="F16" s="129">
        <f>C16*E16</f>
        <v>92000</v>
      </c>
      <c r="G16" s="132">
        <f>D16*E16</f>
        <v>59200</v>
      </c>
      <c r="I16" s="281"/>
    </row>
    <row r="17" spans="2:11" x14ac:dyDescent="0.3">
      <c r="B17" s="138" t="s">
        <v>117</v>
      </c>
      <c r="C17" s="134">
        <v>135000</v>
      </c>
      <c r="D17" s="134">
        <v>37100</v>
      </c>
      <c r="E17" s="246">
        <v>6</v>
      </c>
      <c r="F17" s="129">
        <f>C17*E17</f>
        <v>810000</v>
      </c>
      <c r="G17" s="132">
        <f>D17*E17</f>
        <v>222600</v>
      </c>
      <c r="I17" s="282"/>
      <c r="J17" s="282"/>
      <c r="K17" s="282"/>
    </row>
    <row r="18" spans="2:11" x14ac:dyDescent="0.3">
      <c r="B18" s="138" t="s">
        <v>118</v>
      </c>
      <c r="C18" s="134">
        <v>565600</v>
      </c>
      <c r="D18" s="134">
        <v>97700</v>
      </c>
      <c r="E18" s="246">
        <v>6</v>
      </c>
      <c r="F18" s="129">
        <f>C18*E18</f>
        <v>3393600</v>
      </c>
      <c r="G18" s="132">
        <f>D18*E18</f>
        <v>586200</v>
      </c>
      <c r="I18" s="283"/>
      <c r="J18" s="284"/>
      <c r="K18" s="284"/>
    </row>
    <row r="19" spans="2:11" x14ac:dyDescent="0.3">
      <c r="B19" s="138" t="s">
        <v>119</v>
      </c>
      <c r="C19" s="134">
        <v>879200</v>
      </c>
      <c r="D19" s="134">
        <v>150200</v>
      </c>
      <c r="E19" s="246">
        <v>3</v>
      </c>
      <c r="F19" s="129">
        <f>C19*E19</f>
        <v>2637600</v>
      </c>
      <c r="G19" s="132">
        <f>D19*E19</f>
        <v>450600</v>
      </c>
      <c r="I19" s="283"/>
      <c r="J19" s="285"/>
      <c r="K19" s="284"/>
    </row>
    <row r="20" spans="2:11" x14ac:dyDescent="0.3">
      <c r="B20" s="138" t="s">
        <v>120</v>
      </c>
      <c r="C20" s="134">
        <v>210800</v>
      </c>
      <c r="D20" s="134">
        <v>64600</v>
      </c>
      <c r="E20" s="246">
        <v>0</v>
      </c>
      <c r="F20" s="129">
        <f>C20*E20</f>
        <v>0</v>
      </c>
      <c r="G20" s="132">
        <f>D20*E20</f>
        <v>0</v>
      </c>
      <c r="I20" s="283"/>
      <c r="J20" s="286"/>
      <c r="K20" s="286"/>
    </row>
    <row r="21" spans="2:11" ht="13.5" thickBot="1" x14ac:dyDescent="0.35">
      <c r="B21" s="133" t="s">
        <v>153</v>
      </c>
      <c r="C21" s="80"/>
      <c r="D21" s="80"/>
      <c r="E21" s="80"/>
      <c r="F21" s="139">
        <f>ROUND(SUM(F16:F20)/($C$3),0)</f>
        <v>364905</v>
      </c>
      <c r="G21" s="139">
        <f>ROUND(SUM(G16:G20)/($C$3),0)</f>
        <v>69400</v>
      </c>
      <c r="H21" s="141"/>
    </row>
    <row r="22" spans="2:11" ht="13.5" thickBot="1" x14ac:dyDescent="0.35"/>
    <row r="23" spans="2:11" ht="14.5" x14ac:dyDescent="0.35">
      <c r="B23" s="105" t="s">
        <v>171</v>
      </c>
      <c r="C23" s="72"/>
      <c r="D23" s="73"/>
      <c r="I23" s="281"/>
    </row>
    <row r="24" spans="2:11" x14ac:dyDescent="0.3">
      <c r="B24" s="106" t="s">
        <v>111</v>
      </c>
      <c r="C24" s="100" t="s">
        <v>92</v>
      </c>
      <c r="D24" s="107" t="s">
        <v>110</v>
      </c>
      <c r="I24" s="282"/>
      <c r="J24" s="282"/>
      <c r="K24" s="282"/>
    </row>
    <row r="25" spans="2:11" x14ac:dyDescent="0.3">
      <c r="B25" s="287" t="s">
        <v>172</v>
      </c>
      <c r="C25" s="288"/>
      <c r="D25" s="289"/>
      <c r="I25" s="283"/>
      <c r="J25" s="284"/>
      <c r="K25" s="284"/>
    </row>
    <row r="26" spans="2:11" x14ac:dyDescent="0.3">
      <c r="B26" s="142" t="s">
        <v>173</v>
      </c>
      <c r="C26" s="129">
        <v>410000</v>
      </c>
      <c r="D26" s="143">
        <v>40900</v>
      </c>
      <c r="I26" s="283"/>
      <c r="J26" s="285"/>
      <c r="K26" s="284"/>
    </row>
    <row r="27" spans="2:11" x14ac:dyDescent="0.3">
      <c r="B27" s="142" t="s">
        <v>174</v>
      </c>
      <c r="C27" s="129">
        <v>0</v>
      </c>
      <c r="D27" s="143">
        <v>75200</v>
      </c>
      <c r="I27" s="283"/>
      <c r="J27" s="286"/>
      <c r="K27" s="286"/>
    </row>
    <row r="28" spans="2:11" x14ac:dyDescent="0.3">
      <c r="B28" s="142" t="s">
        <v>127</v>
      </c>
      <c r="C28" s="129">
        <v>94000</v>
      </c>
      <c r="D28" s="143">
        <v>12800</v>
      </c>
    </row>
    <row r="29" spans="2:11" x14ac:dyDescent="0.3">
      <c r="B29" s="256" t="s">
        <v>43</v>
      </c>
      <c r="C29" s="257">
        <f>SUM(C26:C28)</f>
        <v>504000</v>
      </c>
      <c r="D29" s="258">
        <f>SUM(D26:D28)</f>
        <v>128900</v>
      </c>
    </row>
    <row r="30" spans="2:11" x14ac:dyDescent="0.3">
      <c r="B30" s="142" t="s">
        <v>129</v>
      </c>
      <c r="C30" s="246">
        <f>$C$3</f>
        <v>19</v>
      </c>
      <c r="D30" s="143"/>
    </row>
    <row r="31" spans="2:11" ht="13.5" thickBot="1" x14ac:dyDescent="0.35">
      <c r="B31" s="133" t="s">
        <v>153</v>
      </c>
      <c r="C31" s="139">
        <f>ROUND(C29/($C30),0)</f>
        <v>26526</v>
      </c>
      <c r="D31" s="140">
        <f>ROUND(D29/($C30),0)</f>
        <v>6784</v>
      </c>
    </row>
    <row r="32" spans="2:11" ht="13.5" thickBot="1" x14ac:dyDescent="0.35"/>
    <row r="33" spans="2:6" ht="14.5" x14ac:dyDescent="0.35">
      <c r="B33" s="105" t="s">
        <v>176</v>
      </c>
      <c r="C33" s="72"/>
      <c r="D33" s="73"/>
    </row>
    <row r="34" spans="2:6" x14ac:dyDescent="0.3">
      <c r="B34" s="106" t="s">
        <v>111</v>
      </c>
      <c r="C34" s="100" t="s">
        <v>92</v>
      </c>
      <c r="D34" s="107" t="s">
        <v>110</v>
      </c>
    </row>
    <row r="35" spans="2:6" x14ac:dyDescent="0.3">
      <c r="B35" s="104" t="s">
        <v>43</v>
      </c>
      <c r="C35" s="129">
        <v>48325</v>
      </c>
      <c r="D35" s="132">
        <v>9933</v>
      </c>
    </row>
    <row r="36" spans="2:6" x14ac:dyDescent="0.3">
      <c r="B36" s="142" t="s">
        <v>175</v>
      </c>
      <c r="C36" s="246">
        <f>$C$3</f>
        <v>19</v>
      </c>
      <c r="D36" s="143"/>
    </row>
    <row r="37" spans="2:6" ht="13.5" thickBot="1" x14ac:dyDescent="0.35">
      <c r="B37" s="133" t="s">
        <v>153</v>
      </c>
      <c r="C37" s="139">
        <f>ROUND(C35/($C36),0)</f>
        <v>2543</v>
      </c>
      <c r="D37" s="140">
        <f>ROUND(D35/($C36),0)</f>
        <v>523</v>
      </c>
      <c r="E37" s="220"/>
      <c r="F37" s="220"/>
    </row>
    <row r="38" spans="2:6" ht="13.5" thickBot="1" x14ac:dyDescent="0.35"/>
    <row r="39" spans="2:6" ht="14.5" x14ac:dyDescent="0.35">
      <c r="B39" s="105" t="s">
        <v>177</v>
      </c>
      <c r="C39" s="72"/>
      <c r="D39" s="73"/>
    </row>
    <row r="40" spans="2:6" x14ac:dyDescent="0.3">
      <c r="B40" s="106" t="s">
        <v>111</v>
      </c>
      <c r="C40" s="100" t="s">
        <v>92</v>
      </c>
      <c r="D40" s="107" t="s">
        <v>110</v>
      </c>
    </row>
    <row r="41" spans="2:6" x14ac:dyDescent="0.3">
      <c r="B41" s="104" t="s">
        <v>43</v>
      </c>
      <c r="C41" s="129">
        <v>16500</v>
      </c>
      <c r="D41" s="132">
        <v>1400</v>
      </c>
    </row>
    <row r="42" spans="2:6" x14ac:dyDescent="0.3">
      <c r="B42" s="142" t="s">
        <v>178</v>
      </c>
      <c r="C42" s="246">
        <v>1</v>
      </c>
      <c r="D42" s="143"/>
    </row>
    <row r="43" spans="2:6" ht="13.5" thickBot="1" x14ac:dyDescent="0.35">
      <c r="B43" s="133" t="s">
        <v>153</v>
      </c>
      <c r="C43" s="139">
        <f>ROUND(C41/($C42),0)</f>
        <v>16500</v>
      </c>
      <c r="D43" s="140">
        <f>ROUND(D41/($C42),0)</f>
        <v>1400</v>
      </c>
    </row>
    <row r="44" spans="2:6" ht="13.5" thickBot="1" x14ac:dyDescent="0.35"/>
    <row r="45" spans="2:6" ht="14.5" x14ac:dyDescent="0.35">
      <c r="B45" s="105" t="s">
        <v>179</v>
      </c>
      <c r="C45" s="72"/>
      <c r="D45" s="73"/>
    </row>
    <row r="46" spans="2:6" x14ac:dyDescent="0.3">
      <c r="B46" s="106" t="s">
        <v>111</v>
      </c>
      <c r="C46" s="100" t="s">
        <v>92</v>
      </c>
      <c r="D46" s="107" t="s">
        <v>110</v>
      </c>
    </row>
    <row r="47" spans="2:6" x14ac:dyDescent="0.3">
      <c r="B47" s="104" t="s">
        <v>43</v>
      </c>
      <c r="C47" s="129">
        <v>2205</v>
      </c>
      <c r="D47" s="132">
        <v>2070</v>
      </c>
    </row>
    <row r="48" spans="2:6" x14ac:dyDescent="0.3">
      <c r="B48" s="142" t="s">
        <v>180</v>
      </c>
      <c r="C48" s="246">
        <f>C3</f>
        <v>19</v>
      </c>
      <c r="D48" s="143"/>
    </row>
    <row r="49" spans="2:4" ht="13.5" thickBot="1" x14ac:dyDescent="0.35">
      <c r="B49" s="133" t="s">
        <v>153</v>
      </c>
      <c r="C49" s="139">
        <f>ROUND(C47/($C48),0)</f>
        <v>116</v>
      </c>
      <c r="D49" s="140">
        <f>ROUND(D47/($C48),0)</f>
        <v>109</v>
      </c>
    </row>
    <row r="50" spans="2:4" ht="13.5" thickBot="1" x14ac:dyDescent="0.35"/>
    <row r="51" spans="2:4" ht="14.5" x14ac:dyDescent="0.35">
      <c r="B51" s="105" t="s">
        <v>181</v>
      </c>
      <c r="C51" s="72"/>
      <c r="D51" s="73"/>
    </row>
    <row r="52" spans="2:4" x14ac:dyDescent="0.3">
      <c r="B52" s="106" t="s">
        <v>111</v>
      </c>
      <c r="C52" s="100" t="s">
        <v>92</v>
      </c>
      <c r="D52" s="107" t="s">
        <v>110</v>
      </c>
    </row>
    <row r="53" spans="2:4" x14ac:dyDescent="0.3">
      <c r="B53" s="104" t="s">
        <v>43</v>
      </c>
      <c r="C53" s="129">
        <v>39520</v>
      </c>
      <c r="D53" s="132">
        <v>6840</v>
      </c>
    </row>
    <row r="54" spans="2:4" x14ac:dyDescent="0.3">
      <c r="B54" s="142" t="s">
        <v>180</v>
      </c>
      <c r="C54" s="246">
        <v>19</v>
      </c>
      <c r="D54" s="143"/>
    </row>
    <row r="55" spans="2:4" ht="13.5" thickBot="1" x14ac:dyDescent="0.35">
      <c r="B55" s="133" t="s">
        <v>153</v>
      </c>
      <c r="C55" s="139">
        <f>ROUND(C53/($C54),0)</f>
        <v>2080</v>
      </c>
      <c r="D55" s="140">
        <f>ROUND(D53/($C54),0)</f>
        <v>360</v>
      </c>
    </row>
    <row r="56" spans="2:4" ht="13.5" thickBot="1" x14ac:dyDescent="0.35"/>
    <row r="57" spans="2:4" ht="14.5" x14ac:dyDescent="0.35">
      <c r="B57" s="105" t="s">
        <v>182</v>
      </c>
      <c r="C57" s="72"/>
      <c r="D57" s="73"/>
    </row>
    <row r="58" spans="2:4" x14ac:dyDescent="0.3">
      <c r="B58" s="106" t="s">
        <v>111</v>
      </c>
      <c r="C58" s="100" t="s">
        <v>92</v>
      </c>
      <c r="D58" s="107" t="s">
        <v>110</v>
      </c>
    </row>
    <row r="59" spans="2:4" x14ac:dyDescent="0.3">
      <c r="B59" s="104" t="s">
        <v>43</v>
      </c>
      <c r="C59" s="129">
        <v>560000</v>
      </c>
      <c r="D59" s="132">
        <v>325000</v>
      </c>
    </row>
    <row r="60" spans="2:4" x14ac:dyDescent="0.3">
      <c r="B60" s="142" t="s">
        <v>183</v>
      </c>
      <c r="C60" s="246">
        <v>1</v>
      </c>
      <c r="D60" s="143"/>
    </row>
    <row r="61" spans="2:4" ht="13.5" thickBot="1" x14ac:dyDescent="0.35">
      <c r="B61" s="133" t="s">
        <v>153</v>
      </c>
      <c r="C61" s="139">
        <f>ROUND(C59/($C60),0)</f>
        <v>560000</v>
      </c>
      <c r="D61" s="140">
        <f>ROUND(D59/($C60),0)</f>
        <v>325000</v>
      </c>
    </row>
    <row r="62" spans="2:4" ht="13.5" thickBot="1" x14ac:dyDescent="0.35"/>
    <row r="63" spans="2:4" ht="14.5" x14ac:dyDescent="0.35">
      <c r="B63" s="105" t="s">
        <v>184</v>
      </c>
      <c r="C63" s="72"/>
      <c r="D63" s="73"/>
    </row>
    <row r="64" spans="2:4" x14ac:dyDescent="0.3">
      <c r="B64" s="106" t="s">
        <v>111</v>
      </c>
      <c r="C64" s="100" t="s">
        <v>92</v>
      </c>
      <c r="D64" s="107" t="s">
        <v>110</v>
      </c>
    </row>
    <row r="65" spans="2:7" x14ac:dyDescent="0.3">
      <c r="B65" s="104" t="s">
        <v>43</v>
      </c>
      <c r="C65" s="129">
        <v>127500</v>
      </c>
      <c r="D65" s="132">
        <v>1255000</v>
      </c>
    </row>
    <row r="66" spans="2:7" x14ac:dyDescent="0.3">
      <c r="B66" s="142" t="s">
        <v>185</v>
      </c>
      <c r="C66" s="246">
        <v>12</v>
      </c>
      <c r="D66" s="143"/>
    </row>
    <row r="67" spans="2:7" ht="13.5" thickBot="1" x14ac:dyDescent="0.35">
      <c r="B67" s="133" t="s">
        <v>153</v>
      </c>
      <c r="C67" s="139">
        <f>ROUND(C65/($C66),0)</f>
        <v>10625</v>
      </c>
      <c r="D67" s="140">
        <f>ROUND(D65/($C66),0)</f>
        <v>104583</v>
      </c>
    </row>
    <row r="68" spans="2:7" ht="13.5" thickBot="1" x14ac:dyDescent="0.35"/>
    <row r="69" spans="2:7" ht="14.5" x14ac:dyDescent="0.35">
      <c r="B69" s="105" t="s">
        <v>187</v>
      </c>
      <c r="C69" s="72"/>
      <c r="D69" s="73"/>
    </row>
    <row r="70" spans="2:7" x14ac:dyDescent="0.3">
      <c r="B70" s="106" t="s">
        <v>111</v>
      </c>
      <c r="C70" s="100" t="s">
        <v>92</v>
      </c>
      <c r="D70" s="107" t="s">
        <v>110</v>
      </c>
    </row>
    <row r="71" spans="2:7" ht="39" x14ac:dyDescent="0.3">
      <c r="B71" s="267" t="s">
        <v>189</v>
      </c>
      <c r="C71" s="129">
        <v>746263</v>
      </c>
      <c r="D71" s="132">
        <v>1870151</v>
      </c>
    </row>
    <row r="72" spans="2:7" ht="27.65" customHeight="1" x14ac:dyDescent="0.3">
      <c r="B72" s="104" t="s">
        <v>188</v>
      </c>
      <c r="C72" s="129">
        <v>0</v>
      </c>
      <c r="D72" s="143">
        <v>8645</v>
      </c>
    </row>
    <row r="73" spans="2:7" x14ac:dyDescent="0.3">
      <c r="B73" s="142" t="s">
        <v>185</v>
      </c>
      <c r="C73" s="246">
        <v>19</v>
      </c>
      <c r="D73" s="143"/>
    </row>
    <row r="74" spans="2:7" ht="13.5" thickBot="1" x14ac:dyDescent="0.35">
      <c r="B74" s="133" t="s">
        <v>153</v>
      </c>
      <c r="C74" s="139">
        <f>ROUND((C71+C72)/($C73),0)</f>
        <v>39277</v>
      </c>
      <c r="D74" s="140">
        <f>ROUND((D71+D72)/($C73),0)</f>
        <v>98884</v>
      </c>
    </row>
    <row r="77" spans="2:7" ht="13.5" thickBot="1" x14ac:dyDescent="0.35"/>
    <row r="78" spans="2:7" ht="14.5" x14ac:dyDescent="0.35">
      <c r="B78" s="109" t="s">
        <v>122</v>
      </c>
      <c r="C78" s="72"/>
      <c r="D78" s="72"/>
      <c r="E78" s="72"/>
      <c r="F78" s="72"/>
      <c r="G78" s="73"/>
    </row>
    <row r="79" spans="2:7" x14ac:dyDescent="0.3">
      <c r="B79" s="77" t="s">
        <v>210</v>
      </c>
      <c r="G79" s="74"/>
    </row>
    <row r="80" spans="2:7" x14ac:dyDescent="0.3">
      <c r="B80" s="61" t="s">
        <v>165</v>
      </c>
      <c r="G80" s="74"/>
    </row>
    <row r="81" spans="2:7" ht="26" x14ac:dyDescent="0.3">
      <c r="B81" s="62" t="s">
        <v>76</v>
      </c>
      <c r="C81" s="63" t="s">
        <v>77</v>
      </c>
      <c r="D81" s="269" t="s">
        <v>206</v>
      </c>
      <c r="E81" s="270" t="s">
        <v>207</v>
      </c>
      <c r="F81" s="270" t="s">
        <v>208</v>
      </c>
      <c r="G81" s="102" t="s">
        <v>209</v>
      </c>
    </row>
    <row r="82" spans="2:7" x14ac:dyDescent="0.3">
      <c r="B82" s="71" t="s">
        <v>0</v>
      </c>
      <c r="C82" s="64" t="s">
        <v>203</v>
      </c>
      <c r="D82" s="64">
        <v>48.21</v>
      </c>
      <c r="E82" s="75">
        <v>1.5</v>
      </c>
      <c r="F82" s="75">
        <v>1.4</v>
      </c>
      <c r="G82" s="76">
        <v>101.24</v>
      </c>
    </row>
    <row r="83" spans="2:7" x14ac:dyDescent="0.3">
      <c r="B83" s="71" t="s">
        <v>204</v>
      </c>
      <c r="C83" s="268" t="s">
        <v>164</v>
      </c>
      <c r="D83" s="64">
        <v>76.83</v>
      </c>
      <c r="E83" s="75">
        <v>1.5</v>
      </c>
      <c r="F83" s="75">
        <v>1.4</v>
      </c>
      <c r="G83" s="76">
        <v>161.34</v>
      </c>
    </row>
    <row r="84" spans="2:7" x14ac:dyDescent="0.3">
      <c r="B84" s="71" t="s">
        <v>1</v>
      </c>
      <c r="C84" s="268" t="s">
        <v>205</v>
      </c>
      <c r="D84" s="64">
        <v>21.51</v>
      </c>
      <c r="E84" s="75">
        <v>1.5</v>
      </c>
      <c r="F84" s="75">
        <v>1.4</v>
      </c>
      <c r="G84" s="76">
        <v>45.17</v>
      </c>
    </row>
    <row r="85" spans="2:7" x14ac:dyDescent="0.3">
      <c r="B85" s="77"/>
      <c r="C85" s="65"/>
      <c r="D85" s="66"/>
      <c r="E85" s="78"/>
      <c r="G85" s="74"/>
    </row>
    <row r="86" spans="2:7" ht="15" thickBot="1" x14ac:dyDescent="0.4">
      <c r="B86" s="271" t="s">
        <v>211</v>
      </c>
      <c r="C86" s="79"/>
      <c r="D86" s="79"/>
      <c r="E86" s="80"/>
      <c r="F86" s="80"/>
      <c r="G86" s="81"/>
    </row>
    <row r="87" spans="2:7" ht="13.5" thickBot="1" x14ac:dyDescent="0.35">
      <c r="B87" s="82"/>
      <c r="C87" s="78"/>
      <c r="D87" s="78"/>
    </row>
    <row r="88" spans="2:7" ht="14.5" x14ac:dyDescent="0.35">
      <c r="B88" s="110" t="s">
        <v>121</v>
      </c>
      <c r="C88" s="92"/>
      <c r="D88" s="93"/>
    </row>
    <row r="89" spans="2:7" ht="26" x14ac:dyDescent="0.3">
      <c r="B89" s="94"/>
      <c r="C89" s="91" t="s">
        <v>45</v>
      </c>
      <c r="D89" s="95" t="s">
        <v>46</v>
      </c>
    </row>
    <row r="90" spans="2:7" x14ac:dyDescent="0.3">
      <c r="B90" s="84" t="s">
        <v>47</v>
      </c>
      <c r="C90" s="68">
        <v>32.020000000000003</v>
      </c>
      <c r="D90" s="96">
        <f>C90*1.6</f>
        <v>51.232000000000006</v>
      </c>
    </row>
    <row r="91" spans="2:7" x14ac:dyDescent="0.3">
      <c r="B91" s="83" t="s">
        <v>48</v>
      </c>
      <c r="C91" s="67">
        <v>43.15</v>
      </c>
      <c r="D91" s="96">
        <f>C91*1.6</f>
        <v>69.040000000000006</v>
      </c>
    </row>
    <row r="92" spans="2:7" x14ac:dyDescent="0.3">
      <c r="B92" s="84" t="s">
        <v>49</v>
      </c>
      <c r="C92" s="68">
        <v>17.329999999999998</v>
      </c>
      <c r="D92" s="96">
        <f>C92*1.6</f>
        <v>27.727999999999998</v>
      </c>
    </row>
    <row r="93" spans="2:7" x14ac:dyDescent="0.3">
      <c r="B93" s="86" t="s">
        <v>96</v>
      </c>
      <c r="C93" s="70"/>
      <c r="D93" s="85"/>
    </row>
    <row r="94" spans="2:7" x14ac:dyDescent="0.3">
      <c r="B94" s="86" t="s">
        <v>97</v>
      </c>
      <c r="C94" s="69"/>
      <c r="D94" s="87"/>
    </row>
    <row r="95" spans="2:7" ht="13.5" thickBot="1" x14ac:dyDescent="0.35">
      <c r="B95" s="88"/>
      <c r="C95" s="89"/>
      <c r="D95" s="90"/>
    </row>
  </sheetData>
  <sheetProtection algorithmName="SHA-512" hashValue="+f2fUxmdJ7sgFrYCxtUoreBbMB06RZML0ybmEvvAbM/RbodBLsY7myhBvexMMc1hde9uwleuL7HfDQPcOKN/Ig==" saltValue="CQh7nhJgpQqEzx1NtWDISg==" spinCount="100000" sheet="1" objects="1" scenarios="1"/>
  <mergeCells count="1">
    <mergeCell ref="B25:D25"/>
  </mergeCells>
  <phoneticPr fontId="41" type="noConversion"/>
  <hyperlinks>
    <hyperlink ref="B86" r:id="rId1" xr:uid="{D3195030-7072-43E4-9649-8F5C874F9129}"/>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2:I8"/>
  <sheetViews>
    <sheetView zoomScaleNormal="100" workbookViewId="0"/>
  </sheetViews>
  <sheetFormatPr defaultColWidth="9.1796875" defaultRowHeight="14.5" x14ac:dyDescent="0.35"/>
  <cols>
    <col min="1" max="1" width="3.54296875" style="1" customWidth="1"/>
    <col min="2" max="2" width="8.54296875" style="8" customWidth="1"/>
    <col min="3" max="3" width="11.54296875" style="8" customWidth="1"/>
    <col min="4" max="4" width="18.26953125" style="8" customWidth="1"/>
    <col min="5" max="5" width="14" style="8" customWidth="1"/>
    <col min="6" max="6" width="12.81640625" style="8" customWidth="1"/>
    <col min="7" max="7" width="13" style="8" customWidth="1"/>
    <col min="8" max="8" width="10.54296875" style="8" customWidth="1"/>
    <col min="9" max="9" width="12.7265625" style="8" customWidth="1"/>
    <col min="10" max="16384" width="9.1796875" style="1"/>
  </cols>
  <sheetData>
    <row r="2" spans="2:9" ht="39" customHeight="1" x14ac:dyDescent="0.35">
      <c r="B2" s="302" t="s">
        <v>302</v>
      </c>
      <c r="C2" s="302"/>
      <c r="D2" s="302"/>
      <c r="E2" s="302"/>
      <c r="F2" s="302"/>
      <c r="G2" s="302"/>
      <c r="H2" s="302"/>
      <c r="I2" s="302"/>
    </row>
    <row r="3" spans="2:9" ht="29.25" customHeight="1" thickBot="1" x14ac:dyDescent="0.4">
      <c r="B3" s="190" t="s">
        <v>35</v>
      </c>
      <c r="C3" s="191" t="s">
        <v>36</v>
      </c>
      <c r="D3" s="191" t="s">
        <v>37</v>
      </c>
      <c r="E3" s="191" t="s">
        <v>38</v>
      </c>
      <c r="F3" s="191" t="s">
        <v>51</v>
      </c>
      <c r="G3" s="191" t="s">
        <v>40</v>
      </c>
      <c r="H3" s="191" t="s">
        <v>52</v>
      </c>
      <c r="I3" s="191" t="s">
        <v>42</v>
      </c>
    </row>
    <row r="4" spans="2:9" ht="15" thickTop="1" x14ac:dyDescent="0.35">
      <c r="B4" s="192">
        <v>1</v>
      </c>
      <c r="C4" s="2">
        <f>EPA_YR1!I41</f>
        <v>1090</v>
      </c>
      <c r="D4" s="2">
        <f>EPA_YR1!J41</f>
        <v>54.5</v>
      </c>
      <c r="E4" s="2">
        <f>EPA_YR1!K41</f>
        <v>109</v>
      </c>
      <c r="F4" s="2">
        <f>SUM(C4:E4)</f>
        <v>1253.5</v>
      </c>
      <c r="G4" s="3">
        <f>EPA_YR1!M41</f>
        <v>62627.912000000011</v>
      </c>
      <c r="H4" s="3">
        <v>0</v>
      </c>
      <c r="I4" s="3">
        <f>+G4+H4</f>
        <v>62627.912000000011</v>
      </c>
    </row>
    <row r="5" spans="2:9" x14ac:dyDescent="0.35">
      <c r="B5" s="193">
        <v>2</v>
      </c>
      <c r="C5" s="4">
        <f>EPA_YR2!I41</f>
        <v>490</v>
      </c>
      <c r="D5" s="4">
        <f>EPA_YR2!J41</f>
        <v>24.499999999999996</v>
      </c>
      <c r="E5" s="4">
        <f>EPA_YR2!K41</f>
        <v>48.999999999999993</v>
      </c>
      <c r="F5" s="2">
        <f>SUM(C5:E5)</f>
        <v>563.5</v>
      </c>
      <c r="G5" s="5">
        <f>EPA_YR2!M41</f>
        <v>30797.582000000002</v>
      </c>
      <c r="H5" s="5">
        <v>0</v>
      </c>
      <c r="I5" s="5">
        <f>+G5+H5</f>
        <v>30797.582000000002</v>
      </c>
    </row>
    <row r="6" spans="2:9" ht="15" thickBot="1" x14ac:dyDescent="0.4">
      <c r="B6" s="190">
        <v>3</v>
      </c>
      <c r="C6" s="6">
        <f>EPA_YR3!I41</f>
        <v>883</v>
      </c>
      <c r="D6" s="6">
        <f>EPA_YR3!J41</f>
        <v>44.150000000000006</v>
      </c>
      <c r="E6" s="6">
        <f>EPA_YR3!K41</f>
        <v>88.300000000000011</v>
      </c>
      <c r="F6" s="6">
        <f>SUM(C6:E6)</f>
        <v>1015.45</v>
      </c>
      <c r="G6" s="7">
        <f>EPA_YR3!M41</f>
        <v>52496.854400000004</v>
      </c>
      <c r="H6" s="7">
        <v>0</v>
      </c>
      <c r="I6" s="7">
        <f>+G6+H6</f>
        <v>52496.854400000004</v>
      </c>
    </row>
    <row r="7" spans="2:9" ht="15" thickTop="1" x14ac:dyDescent="0.35">
      <c r="B7" s="192" t="s">
        <v>43</v>
      </c>
      <c r="C7" s="2">
        <f t="shared" ref="C7:I7" si="0">SUM(C4:C6)</f>
        <v>2463</v>
      </c>
      <c r="D7" s="2">
        <f>SUM(D4:D6)</f>
        <v>123.15</v>
      </c>
      <c r="E7" s="2">
        <f t="shared" si="0"/>
        <v>246.3</v>
      </c>
      <c r="F7" s="2">
        <f t="shared" si="0"/>
        <v>2832.45</v>
      </c>
      <c r="G7" s="3">
        <f t="shared" si="0"/>
        <v>145922.34840000002</v>
      </c>
      <c r="H7" s="3">
        <f t="shared" si="0"/>
        <v>0</v>
      </c>
      <c r="I7" s="3">
        <f t="shared" si="0"/>
        <v>145922.34840000002</v>
      </c>
    </row>
    <row r="8" spans="2:9" x14ac:dyDescent="0.35">
      <c r="B8" s="193" t="s">
        <v>44</v>
      </c>
      <c r="C8" s="4">
        <f t="shared" ref="C8:I8" si="1">AVERAGE(C4:C6)</f>
        <v>821</v>
      </c>
      <c r="D8" s="4">
        <f t="shared" si="1"/>
        <v>41.050000000000004</v>
      </c>
      <c r="E8" s="4">
        <f t="shared" si="1"/>
        <v>82.100000000000009</v>
      </c>
      <c r="F8" s="4">
        <f t="shared" si="1"/>
        <v>944.15</v>
      </c>
      <c r="G8" s="5">
        <f t="shared" si="1"/>
        <v>48640.782800000008</v>
      </c>
      <c r="H8" s="5">
        <f t="shared" si="1"/>
        <v>0</v>
      </c>
      <c r="I8" s="5">
        <f t="shared" si="1"/>
        <v>48640.782800000008</v>
      </c>
    </row>
  </sheetData>
  <sheetProtection algorithmName="SHA-512" hashValue="SH7aVp1/WaMddNCwn82JOHnMHQkah/xt5dyWq8QOCqIsanW3nnC0TGu6+VKx0v/uK8EmeTpgdxp3uSbrqA3Q4w==" saltValue="ZQxSxsGjjFYKTT8jU6qxcQ==" spinCount="100000" sheet="1" objects="1" scenarios="1"/>
  <mergeCells count="1">
    <mergeCell ref="B2:I2"/>
  </mergeCells>
  <printOptions horizontalCentered="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CA704-0BDB-48D9-9FB6-06C875D99756}">
  <sheetPr>
    <tabColor theme="4"/>
  </sheetPr>
  <dimension ref="B2:H53"/>
  <sheetViews>
    <sheetView workbookViewId="0"/>
  </sheetViews>
  <sheetFormatPr defaultColWidth="9.1796875" defaultRowHeight="13" x14ac:dyDescent="0.3"/>
  <cols>
    <col min="1" max="1" width="9.1796875" style="161"/>
    <col min="2" max="2" width="27.81640625" style="161" customWidth="1"/>
    <col min="3" max="4" width="12.453125" style="161" bestFit="1" customWidth="1"/>
    <col min="5" max="5" width="16.1796875" style="161" customWidth="1"/>
    <col min="6" max="6" width="13.1796875" style="161" bestFit="1" customWidth="1"/>
    <col min="7" max="7" width="12.81640625" style="161" customWidth="1"/>
    <col min="8" max="8" width="12.26953125" style="161" bestFit="1" customWidth="1"/>
    <col min="9" max="16384" width="9.1796875" style="161"/>
  </cols>
  <sheetData>
    <row r="2" spans="2:8" ht="15" x14ac:dyDescent="0.3">
      <c r="B2" s="294" t="s">
        <v>107</v>
      </c>
      <c r="C2" s="294"/>
      <c r="D2" s="294"/>
      <c r="E2" s="294"/>
      <c r="F2" s="294"/>
      <c r="G2" s="294"/>
      <c r="H2" s="294"/>
    </row>
    <row r="3" spans="2:8" x14ac:dyDescent="0.3">
      <c r="B3" s="164" t="s">
        <v>4</v>
      </c>
      <c r="C3" s="164" t="s">
        <v>5</v>
      </c>
      <c r="D3" s="164" t="s">
        <v>6</v>
      </c>
      <c r="E3" s="164" t="s">
        <v>7</v>
      </c>
      <c r="F3" s="164" t="s">
        <v>8</v>
      </c>
      <c r="G3" s="164" t="s">
        <v>9</v>
      </c>
      <c r="H3" s="164" t="s">
        <v>103</v>
      </c>
    </row>
    <row r="4" spans="2:8" ht="65" x14ac:dyDescent="0.3">
      <c r="B4" s="165" t="s">
        <v>138</v>
      </c>
      <c r="C4" s="165" t="s">
        <v>133</v>
      </c>
      <c r="D4" s="165" t="s">
        <v>134</v>
      </c>
      <c r="E4" s="165" t="s">
        <v>136</v>
      </c>
      <c r="F4" s="165" t="s">
        <v>135</v>
      </c>
      <c r="G4" s="165" t="s">
        <v>148</v>
      </c>
      <c r="H4" s="165" t="s">
        <v>137</v>
      </c>
    </row>
    <row r="5" spans="2:8" x14ac:dyDescent="0.3">
      <c r="B5" s="162" t="s">
        <v>132</v>
      </c>
      <c r="C5" s="160">
        <f>Inputs!F21</f>
        <v>364905</v>
      </c>
      <c r="D5" s="163">
        <v>19</v>
      </c>
      <c r="E5" s="160">
        <f t="shared" ref="E5:E16" si="0">C5*D5</f>
        <v>6933195</v>
      </c>
      <c r="F5" s="160">
        <f>Inputs!G21</f>
        <v>69400</v>
      </c>
      <c r="G5" s="163">
        <v>19</v>
      </c>
      <c r="H5" s="160">
        <f t="shared" ref="H5:H15" si="1">F5*G5</f>
        <v>1318600</v>
      </c>
    </row>
    <row r="6" spans="2:8" x14ac:dyDescent="0.3">
      <c r="B6" s="162" t="s">
        <v>213</v>
      </c>
      <c r="C6" s="160">
        <f>Inputs!C31</f>
        <v>26526</v>
      </c>
      <c r="D6" s="163">
        <v>19</v>
      </c>
      <c r="E6" s="160">
        <f t="shared" si="0"/>
        <v>503994</v>
      </c>
      <c r="F6" s="160">
        <f>Inputs!D31</f>
        <v>6784</v>
      </c>
      <c r="G6" s="163">
        <v>19</v>
      </c>
      <c r="H6" s="160">
        <f t="shared" si="1"/>
        <v>128896</v>
      </c>
    </row>
    <row r="7" spans="2:8" ht="26" x14ac:dyDescent="0.3">
      <c r="B7" s="241" t="s">
        <v>216</v>
      </c>
      <c r="C7" s="160">
        <f>Inputs!C37</f>
        <v>2543</v>
      </c>
      <c r="D7" s="163">
        <v>19</v>
      </c>
      <c r="E7" s="160">
        <f t="shared" si="0"/>
        <v>48317</v>
      </c>
      <c r="F7" s="160">
        <f>Inputs!D37</f>
        <v>523</v>
      </c>
      <c r="G7" s="163">
        <v>19</v>
      </c>
      <c r="H7" s="160">
        <f t="shared" si="1"/>
        <v>9937</v>
      </c>
    </row>
    <row r="8" spans="2:8" ht="26" x14ac:dyDescent="0.3">
      <c r="B8" s="241" t="s">
        <v>215</v>
      </c>
      <c r="C8" s="160">
        <f>Inputs!C43</f>
        <v>16500</v>
      </c>
      <c r="D8" s="163">
        <v>1</v>
      </c>
      <c r="E8" s="160">
        <f t="shared" si="0"/>
        <v>16500</v>
      </c>
      <c r="F8" s="160">
        <f>Inputs!D43</f>
        <v>1400</v>
      </c>
      <c r="G8" s="163">
        <v>1</v>
      </c>
      <c r="H8" s="160">
        <f t="shared" si="1"/>
        <v>1400</v>
      </c>
    </row>
    <row r="9" spans="2:8" x14ac:dyDescent="0.3">
      <c r="B9" s="162" t="s">
        <v>214</v>
      </c>
      <c r="C9" s="160">
        <f>Inputs!C49</f>
        <v>116</v>
      </c>
      <c r="D9" s="163">
        <v>19</v>
      </c>
      <c r="E9" s="160">
        <f t="shared" si="0"/>
        <v>2204</v>
      </c>
      <c r="F9" s="160">
        <f>Inputs!D49</f>
        <v>109</v>
      </c>
      <c r="G9" s="163">
        <v>19</v>
      </c>
      <c r="H9" s="160">
        <f t="shared" si="1"/>
        <v>2071</v>
      </c>
    </row>
    <row r="10" spans="2:8" ht="26" x14ac:dyDescent="0.3">
      <c r="B10" s="241" t="s">
        <v>181</v>
      </c>
      <c r="C10" s="160">
        <f>Inputs!C55</f>
        <v>2080</v>
      </c>
      <c r="D10" s="163">
        <v>19</v>
      </c>
      <c r="E10" s="160">
        <f t="shared" si="0"/>
        <v>39520</v>
      </c>
      <c r="F10" s="160">
        <f>Inputs!D55</f>
        <v>360</v>
      </c>
      <c r="G10" s="163">
        <v>19</v>
      </c>
      <c r="H10" s="160">
        <f t="shared" si="1"/>
        <v>6840</v>
      </c>
    </row>
    <row r="11" spans="2:8" ht="26" x14ac:dyDescent="0.3">
      <c r="B11" s="241" t="s">
        <v>217</v>
      </c>
      <c r="C11" s="160">
        <f>Inputs!C61</f>
        <v>560000</v>
      </c>
      <c r="D11" s="163">
        <v>1</v>
      </c>
      <c r="E11" s="160">
        <f t="shared" si="0"/>
        <v>560000</v>
      </c>
      <c r="F11" s="160">
        <f>Inputs!D61</f>
        <v>325000</v>
      </c>
      <c r="G11" s="163">
        <v>1</v>
      </c>
      <c r="H11" s="160">
        <f t="shared" si="1"/>
        <v>325000</v>
      </c>
    </row>
    <row r="12" spans="2:8" x14ac:dyDescent="0.3">
      <c r="B12" s="241" t="s">
        <v>184</v>
      </c>
      <c r="C12" s="160">
        <f>Inputs!C67</f>
        <v>10625</v>
      </c>
      <c r="D12" s="163">
        <v>12</v>
      </c>
      <c r="E12" s="160">
        <f t="shared" si="0"/>
        <v>127500</v>
      </c>
      <c r="F12" s="160">
        <f>Inputs!D67</f>
        <v>104583</v>
      </c>
      <c r="G12" s="163">
        <v>12</v>
      </c>
      <c r="H12" s="160">
        <f t="shared" si="1"/>
        <v>1254996</v>
      </c>
    </row>
    <row r="13" spans="2:8" ht="26" x14ac:dyDescent="0.3">
      <c r="B13" s="241" t="s">
        <v>218</v>
      </c>
      <c r="C13" s="160">
        <f>Inputs!C74</f>
        <v>39277</v>
      </c>
      <c r="D13" s="163">
        <v>19</v>
      </c>
      <c r="E13" s="160">
        <f t="shared" si="0"/>
        <v>746263</v>
      </c>
      <c r="F13" s="160">
        <f>Inputs!D74</f>
        <v>98884</v>
      </c>
      <c r="G13" s="163">
        <v>19</v>
      </c>
      <c r="H13" s="160">
        <f t="shared" si="1"/>
        <v>1878796</v>
      </c>
    </row>
    <row r="14" spans="2:8" ht="26" x14ac:dyDescent="0.3">
      <c r="B14" s="241" t="s">
        <v>303</v>
      </c>
      <c r="C14" s="160">
        <f>Inputs!J13</f>
        <v>1457857.142857143</v>
      </c>
      <c r="D14" s="163">
        <v>1</v>
      </c>
      <c r="E14" s="160">
        <f t="shared" si="0"/>
        <v>1457857.142857143</v>
      </c>
      <c r="F14" s="160">
        <f>Inputs!K13</f>
        <v>753714.28571428568</v>
      </c>
      <c r="G14" s="163">
        <v>1</v>
      </c>
      <c r="H14" s="160">
        <f t="shared" si="1"/>
        <v>753714.28571428568</v>
      </c>
    </row>
    <row r="15" spans="2:8" ht="39" x14ac:dyDescent="0.3">
      <c r="B15" s="241" t="s">
        <v>304</v>
      </c>
      <c r="C15" s="160">
        <f>Inputs!N11</f>
        <v>23200</v>
      </c>
      <c r="D15" s="163">
        <v>1</v>
      </c>
      <c r="E15" s="160">
        <f t="shared" si="0"/>
        <v>23200</v>
      </c>
      <c r="F15" s="160">
        <f>Inputs!N12</f>
        <v>4900</v>
      </c>
      <c r="G15" s="163">
        <v>1</v>
      </c>
      <c r="H15" s="160">
        <f t="shared" si="1"/>
        <v>4900</v>
      </c>
    </row>
    <row r="16" spans="2:8" ht="39" x14ac:dyDescent="0.3">
      <c r="B16" s="241" t="s">
        <v>305</v>
      </c>
      <c r="C16" s="160">
        <f>Inputs!N13</f>
        <v>38302</v>
      </c>
      <c r="D16" s="163">
        <v>1</v>
      </c>
      <c r="E16" s="160">
        <f t="shared" si="0"/>
        <v>38302</v>
      </c>
      <c r="F16" s="160">
        <v>0</v>
      </c>
      <c r="G16" s="163">
        <v>1</v>
      </c>
      <c r="H16" s="160" t="s">
        <v>58</v>
      </c>
    </row>
    <row r="17" spans="2:8" s="234" customFormat="1" x14ac:dyDescent="0.3">
      <c r="B17" s="230" t="s">
        <v>31</v>
      </c>
      <c r="C17" s="231"/>
      <c r="D17" s="232"/>
      <c r="E17" s="231">
        <f>SUM(E5:E16)</f>
        <v>10496852.142857144</v>
      </c>
      <c r="F17" s="231"/>
      <c r="G17" s="233"/>
      <c r="H17" s="231">
        <f>SUM(H5:H16)</f>
        <v>5685150.2857142854</v>
      </c>
    </row>
    <row r="18" spans="2:8" x14ac:dyDescent="0.3">
      <c r="B18" s="161" t="s">
        <v>306</v>
      </c>
    </row>
    <row r="19" spans="2:8" x14ac:dyDescent="0.3">
      <c r="B19" s="161" t="s">
        <v>307</v>
      </c>
    </row>
    <row r="20" spans="2:8" x14ac:dyDescent="0.3">
      <c r="B20" s="161" t="s">
        <v>308</v>
      </c>
    </row>
    <row r="21" spans="2:8" x14ac:dyDescent="0.3">
      <c r="B21" s="161" t="s">
        <v>309</v>
      </c>
    </row>
    <row r="22" spans="2:8" x14ac:dyDescent="0.3">
      <c r="B22" s="161" t="s">
        <v>310</v>
      </c>
    </row>
    <row r="25" spans="2:8" ht="14" x14ac:dyDescent="0.3">
      <c r="B25" s="290" t="s">
        <v>144</v>
      </c>
      <c r="C25" s="290"/>
      <c r="D25" s="290"/>
      <c r="E25" s="290"/>
      <c r="F25" s="290"/>
    </row>
    <row r="26" spans="2:8" x14ac:dyDescent="0.3">
      <c r="B26" s="171" t="s">
        <v>4</v>
      </c>
      <c r="C26" s="171" t="s">
        <v>5</v>
      </c>
      <c r="D26" s="171" t="s">
        <v>6</v>
      </c>
      <c r="E26" s="171" t="s">
        <v>7</v>
      </c>
      <c r="F26" s="171" t="s">
        <v>8</v>
      </c>
    </row>
    <row r="27" spans="2:8" ht="46" x14ac:dyDescent="0.3">
      <c r="B27" s="171" t="s">
        <v>142</v>
      </c>
      <c r="C27" s="171" t="s">
        <v>100</v>
      </c>
      <c r="D27" s="171" t="s">
        <v>78</v>
      </c>
      <c r="E27" s="171" t="s">
        <v>143</v>
      </c>
      <c r="F27" s="171" t="s">
        <v>147</v>
      </c>
    </row>
    <row r="28" spans="2:8" x14ac:dyDescent="0.3">
      <c r="B28" s="295" t="s">
        <v>145</v>
      </c>
      <c r="C28" s="296"/>
      <c r="D28" s="296"/>
      <c r="E28" s="296"/>
      <c r="F28" s="297"/>
    </row>
    <row r="29" spans="2:8" x14ac:dyDescent="0.3">
      <c r="B29" s="229" t="s">
        <v>160</v>
      </c>
      <c r="C29" s="172">
        <v>19</v>
      </c>
      <c r="D29" s="171">
        <v>1</v>
      </c>
      <c r="E29" s="171">
        <v>0</v>
      </c>
      <c r="F29" s="171">
        <f>C29*D29</f>
        <v>19</v>
      </c>
    </row>
    <row r="30" spans="2:8" x14ac:dyDescent="0.3">
      <c r="B30" s="229" t="s">
        <v>161</v>
      </c>
      <c r="C30" s="172">
        <v>19</v>
      </c>
      <c r="D30" s="171">
        <v>1</v>
      </c>
      <c r="E30" s="171">
        <v>0</v>
      </c>
      <c r="F30" s="171">
        <f>C30*D30</f>
        <v>19</v>
      </c>
    </row>
    <row r="31" spans="2:8" x14ac:dyDescent="0.3">
      <c r="B31" s="229" t="s">
        <v>311</v>
      </c>
      <c r="C31" s="172">
        <v>19</v>
      </c>
      <c r="D31" s="171">
        <v>1</v>
      </c>
      <c r="E31" s="171">
        <v>0</v>
      </c>
      <c r="F31" s="171">
        <f t="shared" ref="F31:F34" si="2">C31*D31</f>
        <v>19</v>
      </c>
    </row>
    <row r="32" spans="2:8" x14ac:dyDescent="0.3">
      <c r="B32" s="229" t="s">
        <v>312</v>
      </c>
      <c r="C32" s="172">
        <v>19</v>
      </c>
      <c r="D32" s="171">
        <v>1</v>
      </c>
      <c r="E32" s="171">
        <v>0</v>
      </c>
      <c r="F32" s="171">
        <f t="shared" si="2"/>
        <v>19</v>
      </c>
    </row>
    <row r="33" spans="2:6" x14ac:dyDescent="0.3">
      <c r="B33" s="229" t="s">
        <v>313</v>
      </c>
      <c r="C33" s="172">
        <v>19</v>
      </c>
      <c r="D33" s="171">
        <v>1</v>
      </c>
      <c r="E33" s="171">
        <v>0</v>
      </c>
      <c r="F33" s="171">
        <f t="shared" si="2"/>
        <v>19</v>
      </c>
    </row>
    <row r="34" spans="2:6" x14ac:dyDescent="0.3">
      <c r="B34" s="229" t="s">
        <v>314</v>
      </c>
      <c r="C34" s="172">
        <v>1</v>
      </c>
      <c r="D34" s="171">
        <v>1</v>
      </c>
      <c r="E34" s="171">
        <v>0</v>
      </c>
      <c r="F34" s="171">
        <f t="shared" si="2"/>
        <v>1</v>
      </c>
    </row>
    <row r="35" spans="2:6" ht="23" x14ac:dyDescent="0.3">
      <c r="B35" s="229" t="s">
        <v>315</v>
      </c>
      <c r="C35" s="172">
        <v>1</v>
      </c>
      <c r="D35" s="171">
        <v>1</v>
      </c>
      <c r="E35" s="171">
        <v>0</v>
      </c>
      <c r="F35" s="171">
        <f>C35*D35</f>
        <v>1</v>
      </c>
    </row>
    <row r="36" spans="2:6" x14ac:dyDescent="0.3">
      <c r="B36" s="229" t="s">
        <v>316</v>
      </c>
      <c r="C36" s="172">
        <v>1</v>
      </c>
      <c r="D36" s="171">
        <v>1</v>
      </c>
      <c r="E36" s="171">
        <v>0</v>
      </c>
      <c r="F36" s="171">
        <f>C36*D36</f>
        <v>1</v>
      </c>
    </row>
    <row r="37" spans="2:6" x14ac:dyDescent="0.3">
      <c r="B37" s="295" t="s">
        <v>146</v>
      </c>
      <c r="C37" s="296"/>
      <c r="D37" s="296"/>
      <c r="E37" s="296"/>
      <c r="F37" s="297"/>
    </row>
    <row r="38" spans="2:6" x14ac:dyDescent="0.3">
      <c r="B38" s="229" t="s">
        <v>160</v>
      </c>
      <c r="C38" s="172">
        <v>19</v>
      </c>
      <c r="D38" s="171">
        <v>2</v>
      </c>
      <c r="E38" s="171">
        <v>0</v>
      </c>
      <c r="F38" s="171">
        <f t="shared" ref="F38:F52" si="3">C38*D38</f>
        <v>38</v>
      </c>
    </row>
    <row r="39" spans="2:6" x14ac:dyDescent="0.3">
      <c r="B39" s="229" t="s">
        <v>161</v>
      </c>
      <c r="C39" s="172">
        <v>19</v>
      </c>
      <c r="D39" s="171">
        <v>2</v>
      </c>
      <c r="E39" s="171">
        <v>0</v>
      </c>
      <c r="F39" s="171">
        <f>C39*D39</f>
        <v>38</v>
      </c>
    </row>
    <row r="40" spans="2:6" x14ac:dyDescent="0.3">
      <c r="B40" s="229" t="s">
        <v>317</v>
      </c>
      <c r="C40" s="172">
        <v>19</v>
      </c>
      <c r="D40" s="171">
        <v>2</v>
      </c>
      <c r="E40" s="171">
        <v>0</v>
      </c>
      <c r="F40" s="171">
        <f t="shared" si="3"/>
        <v>38</v>
      </c>
    </row>
    <row r="41" spans="2:6" x14ac:dyDescent="0.3">
      <c r="B41" s="229" t="s">
        <v>318</v>
      </c>
      <c r="C41" s="172">
        <v>19</v>
      </c>
      <c r="D41" s="171">
        <v>2</v>
      </c>
      <c r="E41" s="171">
        <v>0</v>
      </c>
      <c r="F41" s="171">
        <f t="shared" si="3"/>
        <v>38</v>
      </c>
    </row>
    <row r="42" spans="2:6" x14ac:dyDescent="0.3">
      <c r="B42" s="229" t="s">
        <v>162</v>
      </c>
      <c r="C42" s="172">
        <v>0</v>
      </c>
      <c r="D42" s="171">
        <v>2</v>
      </c>
      <c r="E42" s="171">
        <v>0</v>
      </c>
      <c r="F42" s="171">
        <f t="shared" si="3"/>
        <v>0</v>
      </c>
    </row>
    <row r="43" spans="2:6" x14ac:dyDescent="0.3">
      <c r="B43" s="229" t="s">
        <v>163</v>
      </c>
      <c r="C43" s="172">
        <v>19</v>
      </c>
      <c r="D43" s="171">
        <v>2</v>
      </c>
      <c r="E43" s="171">
        <v>0</v>
      </c>
      <c r="F43" s="171">
        <f t="shared" si="3"/>
        <v>38</v>
      </c>
    </row>
    <row r="44" spans="2:6" x14ac:dyDescent="0.3">
      <c r="B44" s="229" t="s">
        <v>319</v>
      </c>
      <c r="C44" s="172">
        <v>19</v>
      </c>
      <c r="D44" s="171">
        <v>2</v>
      </c>
      <c r="E44" s="171">
        <v>0</v>
      </c>
      <c r="F44" s="171">
        <f t="shared" si="3"/>
        <v>38</v>
      </c>
    </row>
    <row r="45" spans="2:6" x14ac:dyDescent="0.3">
      <c r="B45" s="229" t="s">
        <v>314</v>
      </c>
      <c r="C45" s="172">
        <v>1</v>
      </c>
      <c r="D45" s="171">
        <v>2</v>
      </c>
      <c r="E45" s="171">
        <v>0</v>
      </c>
      <c r="F45" s="171">
        <f t="shared" si="3"/>
        <v>2</v>
      </c>
    </row>
    <row r="46" spans="2:6" x14ac:dyDescent="0.3">
      <c r="B46" s="229" t="s">
        <v>320</v>
      </c>
      <c r="C46" s="172">
        <v>19</v>
      </c>
      <c r="D46" s="171">
        <v>2</v>
      </c>
      <c r="E46" s="171">
        <v>0</v>
      </c>
      <c r="F46" s="171">
        <f t="shared" si="3"/>
        <v>38</v>
      </c>
    </row>
    <row r="47" spans="2:6" ht="23" x14ac:dyDescent="0.3">
      <c r="B47" s="229" t="s">
        <v>315</v>
      </c>
      <c r="C47" s="172">
        <v>1</v>
      </c>
      <c r="D47" s="171">
        <v>2</v>
      </c>
      <c r="E47" s="171">
        <v>0</v>
      </c>
      <c r="F47" s="171">
        <f t="shared" si="3"/>
        <v>2</v>
      </c>
    </row>
    <row r="48" spans="2:6" x14ac:dyDescent="0.3">
      <c r="B48" s="229" t="s">
        <v>316</v>
      </c>
      <c r="C48" s="172">
        <v>1</v>
      </c>
      <c r="D48" s="171">
        <v>2</v>
      </c>
      <c r="E48" s="171">
        <v>0</v>
      </c>
      <c r="F48" s="171">
        <f t="shared" si="3"/>
        <v>2</v>
      </c>
    </row>
    <row r="49" spans="2:6" x14ac:dyDescent="0.3">
      <c r="B49" s="295" t="s">
        <v>184</v>
      </c>
      <c r="C49" s="296"/>
      <c r="D49" s="296"/>
      <c r="E49" s="296"/>
      <c r="F49" s="297"/>
    </row>
    <row r="50" spans="2:6" x14ac:dyDescent="0.3">
      <c r="B50" s="229" t="s">
        <v>321</v>
      </c>
      <c r="C50" s="172">
        <v>12</v>
      </c>
      <c r="D50" s="171">
        <v>1</v>
      </c>
      <c r="E50" s="171">
        <v>0</v>
      </c>
      <c r="F50" s="171">
        <f t="shared" si="3"/>
        <v>12</v>
      </c>
    </row>
    <row r="51" spans="2:6" x14ac:dyDescent="0.3">
      <c r="B51" s="229" t="s">
        <v>322</v>
      </c>
      <c r="C51" s="172">
        <v>12</v>
      </c>
      <c r="D51" s="171">
        <v>1</v>
      </c>
      <c r="E51" s="171">
        <v>0</v>
      </c>
      <c r="F51" s="171">
        <f t="shared" si="3"/>
        <v>12</v>
      </c>
    </row>
    <row r="52" spans="2:6" x14ac:dyDescent="0.3">
      <c r="B52" s="229" t="s">
        <v>323</v>
      </c>
      <c r="C52" s="172">
        <v>12</v>
      </c>
      <c r="D52" s="171">
        <v>4</v>
      </c>
      <c r="E52" s="171">
        <v>0</v>
      </c>
      <c r="F52" s="171">
        <f t="shared" si="3"/>
        <v>48</v>
      </c>
    </row>
    <row r="53" spans="2:6" x14ac:dyDescent="0.3">
      <c r="B53" s="291" t="s">
        <v>31</v>
      </c>
      <c r="C53" s="292"/>
      <c r="D53" s="292"/>
      <c r="E53" s="293"/>
      <c r="F53" s="235">
        <f>SUM(F28:F52)</f>
        <v>442</v>
      </c>
    </row>
  </sheetData>
  <sheetProtection algorithmName="SHA-512" hashValue="mwZEH/SCEYh11X3Snw5hYCe0pZPf6+glBPegVUwtdgYMjbSUwjvUQgXeHes1CEdbY0/uGhxqpsiNdkKlVqq8uQ==" saltValue="7hatTJu7ONi9fmlRg0Grew==" spinCount="100000" sheet="1" objects="1" scenarios="1"/>
  <mergeCells count="6">
    <mergeCell ref="B25:F25"/>
    <mergeCell ref="B53:E53"/>
    <mergeCell ref="B2:H2"/>
    <mergeCell ref="B28:F28"/>
    <mergeCell ref="B37:F37"/>
    <mergeCell ref="B49:F4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AF9ED-2701-4D83-B488-86B94FB781FE}">
  <sheetPr>
    <tabColor rgb="FF7030A0"/>
  </sheetPr>
  <dimension ref="B2:O117"/>
  <sheetViews>
    <sheetView zoomScaleNormal="100" zoomScaleSheetLayoutView="80" workbookViewId="0">
      <pane ySplit="3" topLeftCell="A69" activePane="bottomLeft" state="frozen"/>
      <selection activeCell="Q53" sqref="Q53"/>
      <selection pane="bottomLeft"/>
    </sheetView>
  </sheetViews>
  <sheetFormatPr defaultColWidth="9.1796875" defaultRowHeight="10" x14ac:dyDescent="0.2"/>
  <cols>
    <col min="1" max="1" width="2.1796875" style="17" customWidth="1"/>
    <col min="2" max="2" width="32.54296875" style="17" customWidth="1"/>
    <col min="3" max="4" width="9.26953125" style="17" bestFit="1" customWidth="1"/>
    <col min="5" max="5" width="10.1796875" style="17" bestFit="1" customWidth="1"/>
    <col min="6" max="6" width="9.7265625" style="17" customWidth="1"/>
    <col min="7" max="7" width="10.1796875" style="17" bestFit="1" customWidth="1"/>
    <col min="8" max="8" width="7.81640625" style="17" bestFit="1" customWidth="1"/>
    <col min="9" max="9" width="8.81640625" style="17" bestFit="1" customWidth="1"/>
    <col min="10" max="10" width="9.7265625" style="17" bestFit="1" customWidth="1"/>
    <col min="11" max="11" width="8.81640625" style="17" bestFit="1" customWidth="1"/>
    <col min="12" max="12" width="9.54296875" style="17" bestFit="1" customWidth="1"/>
    <col min="13" max="13" width="9.453125" style="17" bestFit="1" customWidth="1"/>
    <col min="14" max="14" width="2.54296875" style="17" customWidth="1"/>
    <col min="15" max="15" width="29.1796875" style="101" customWidth="1"/>
    <col min="16" max="16384" width="9.1796875" style="17"/>
  </cols>
  <sheetData>
    <row r="2" spans="2:13" ht="15.5" x14ac:dyDescent="0.2">
      <c r="B2" s="299" t="s">
        <v>286</v>
      </c>
      <c r="C2" s="299"/>
      <c r="D2" s="299"/>
      <c r="E2" s="299"/>
      <c r="F2" s="299"/>
      <c r="G2" s="299"/>
      <c r="H2" s="299"/>
      <c r="I2" s="299"/>
      <c r="J2" s="299"/>
      <c r="K2" s="299"/>
      <c r="L2" s="299"/>
      <c r="M2" s="299"/>
    </row>
    <row r="3" spans="2:13" s="20" customFormat="1" ht="69.75" customHeight="1" x14ac:dyDescent="0.2">
      <c r="B3" s="153" t="s">
        <v>2</v>
      </c>
      <c r="C3" s="153" t="s">
        <v>3</v>
      </c>
      <c r="D3" s="153" t="s">
        <v>75</v>
      </c>
      <c r="E3" s="153" t="s">
        <v>82</v>
      </c>
      <c r="F3" s="153" t="s">
        <v>99</v>
      </c>
      <c r="G3" s="173" t="s">
        <v>252</v>
      </c>
      <c r="H3" s="174" t="s">
        <v>90</v>
      </c>
      <c r="I3" s="174" t="s">
        <v>84</v>
      </c>
      <c r="J3" s="174" t="s">
        <v>85</v>
      </c>
      <c r="K3" s="174" t="s">
        <v>104</v>
      </c>
      <c r="L3" s="153" t="s">
        <v>251</v>
      </c>
      <c r="M3" s="174" t="s">
        <v>106</v>
      </c>
    </row>
    <row r="4" spans="2:13" ht="10.5" customHeight="1" x14ac:dyDescent="0.2">
      <c r="B4" s="175" t="s">
        <v>57</v>
      </c>
      <c r="C4" s="153" t="s">
        <v>58</v>
      </c>
      <c r="D4" s="21"/>
      <c r="E4" s="21"/>
      <c r="F4" s="21"/>
      <c r="G4" s="21"/>
      <c r="H4" s="21"/>
      <c r="I4" s="21"/>
      <c r="J4" s="21"/>
      <c r="K4" s="21"/>
      <c r="L4" s="21"/>
      <c r="M4" s="21"/>
    </row>
    <row r="5" spans="2:13" ht="10.5" customHeight="1" x14ac:dyDescent="0.2">
      <c r="B5" s="175" t="s">
        <v>59</v>
      </c>
      <c r="C5" s="153" t="s">
        <v>58</v>
      </c>
      <c r="D5" s="21"/>
      <c r="E5" s="21"/>
      <c r="F5" s="21"/>
      <c r="G5" s="21"/>
      <c r="H5" s="21"/>
      <c r="I5" s="21"/>
      <c r="J5" s="21"/>
      <c r="K5" s="21"/>
      <c r="L5" s="21"/>
      <c r="M5" s="21"/>
    </row>
    <row r="6" spans="2:13" ht="10.5" customHeight="1" x14ac:dyDescent="0.2">
      <c r="B6" s="175" t="s">
        <v>60</v>
      </c>
      <c r="C6" s="153"/>
      <c r="D6" s="21"/>
      <c r="E6" s="21"/>
      <c r="F6" s="21"/>
      <c r="G6" s="21"/>
      <c r="H6" s="21"/>
      <c r="I6" s="21"/>
      <c r="J6" s="21"/>
      <c r="K6" s="21"/>
      <c r="L6" s="21"/>
      <c r="M6" s="21"/>
    </row>
    <row r="7" spans="2:13" ht="12" x14ac:dyDescent="0.2">
      <c r="B7" s="176" t="s">
        <v>253</v>
      </c>
      <c r="C7" s="21">
        <v>24</v>
      </c>
      <c r="D7" s="111">
        <v>0</v>
      </c>
      <c r="E7" s="21">
        <v>1</v>
      </c>
      <c r="F7" s="154">
        <f>C7*E7</f>
        <v>24</v>
      </c>
      <c r="G7" s="272">
        <v>19</v>
      </c>
      <c r="H7" s="154">
        <f>G7*F7</f>
        <v>456</v>
      </c>
      <c r="I7" s="154">
        <f>H7*0.1</f>
        <v>45.6</v>
      </c>
      <c r="J7" s="154">
        <f>H7*0.05</f>
        <v>22.8</v>
      </c>
      <c r="K7" s="154">
        <f>SUM(H7:J7)</f>
        <v>524.4</v>
      </c>
      <c r="L7" s="111">
        <f>ROUND(H7*Inputs!$G$82+I7*Inputs!$G$84+J7*Inputs!$G$83,0)</f>
        <v>51904</v>
      </c>
      <c r="M7" s="111">
        <f>D7*E7*G7</f>
        <v>0</v>
      </c>
    </row>
    <row r="8" spans="2:13" x14ac:dyDescent="0.2">
      <c r="B8" s="176" t="s">
        <v>61</v>
      </c>
      <c r="C8" s="21"/>
      <c r="D8" s="111"/>
      <c r="E8" s="21"/>
      <c r="F8" s="154"/>
      <c r="G8" s="154"/>
      <c r="H8" s="154"/>
      <c r="I8" s="154"/>
      <c r="J8" s="154"/>
      <c r="K8" s="154"/>
      <c r="L8" s="111"/>
      <c r="M8" s="111"/>
    </row>
    <row r="9" spans="2:13" ht="12" x14ac:dyDescent="0.2">
      <c r="B9" s="179" t="s">
        <v>254</v>
      </c>
      <c r="C9" s="21"/>
      <c r="D9" s="111"/>
      <c r="E9" s="21"/>
      <c r="F9" s="154"/>
      <c r="G9" s="154"/>
      <c r="H9" s="154"/>
      <c r="I9" s="154"/>
      <c r="J9" s="154"/>
      <c r="K9" s="154"/>
      <c r="L9" s="111"/>
      <c r="M9" s="111"/>
    </row>
    <row r="10" spans="2:13" x14ac:dyDescent="0.2">
      <c r="B10" s="178" t="s">
        <v>93</v>
      </c>
      <c r="C10" s="21">
        <v>0</v>
      </c>
      <c r="D10" s="111">
        <f>Inputs!F21</f>
        <v>364905</v>
      </c>
      <c r="E10" s="21">
        <v>1</v>
      </c>
      <c r="F10" s="154">
        <f>C10*E10</f>
        <v>0</v>
      </c>
      <c r="G10" s="272">
        <v>0</v>
      </c>
      <c r="H10" s="154">
        <f>G10*F10</f>
        <v>0</v>
      </c>
      <c r="I10" s="154">
        <f>H10*0.1</f>
        <v>0</v>
      </c>
      <c r="J10" s="154">
        <f>H10*0.05</f>
        <v>0</v>
      </c>
      <c r="K10" s="154">
        <f>SUM(H10:J10)</f>
        <v>0</v>
      </c>
      <c r="L10" s="111">
        <f>ROUND(H10*Inputs!$G$82+I10*Inputs!$G$84+J10*Inputs!$G$83,0)</f>
        <v>0</v>
      </c>
      <c r="M10" s="111">
        <f>D10*E10*G10</f>
        <v>0</v>
      </c>
    </row>
    <row r="11" spans="2:13" x14ac:dyDescent="0.2">
      <c r="B11" s="178" t="s">
        <v>94</v>
      </c>
      <c r="C11" s="21">
        <v>0</v>
      </c>
      <c r="D11" s="111">
        <f>Inputs!G21</f>
        <v>69400</v>
      </c>
      <c r="E11" s="21">
        <v>1</v>
      </c>
      <c r="F11" s="154">
        <f>C11*E11</f>
        <v>0</v>
      </c>
      <c r="G11" s="272">
        <v>0</v>
      </c>
      <c r="H11" s="154">
        <f>G11*F11</f>
        <v>0</v>
      </c>
      <c r="I11" s="154">
        <f>H11*0.1</f>
        <v>0</v>
      </c>
      <c r="J11" s="154">
        <f>H11*0.05</f>
        <v>0</v>
      </c>
      <c r="K11" s="154">
        <f>SUM(H11:J11)</f>
        <v>0</v>
      </c>
      <c r="L11" s="111">
        <f>ROUND(H11*Inputs!$G$82+I11*Inputs!$G$84+J11*Inputs!$G$83,0)</f>
        <v>0</v>
      </c>
      <c r="M11" s="111">
        <f>D11*E11*G11</f>
        <v>0</v>
      </c>
    </row>
    <row r="12" spans="2:13" x14ac:dyDescent="0.2">
      <c r="B12" s="179" t="s">
        <v>151</v>
      </c>
      <c r="C12" s="21"/>
      <c r="D12" s="111"/>
      <c r="E12" s="21"/>
      <c r="F12" s="154"/>
      <c r="G12" s="272"/>
      <c r="H12" s="154"/>
      <c r="I12" s="154"/>
      <c r="J12" s="154"/>
      <c r="K12" s="154"/>
      <c r="L12" s="111"/>
      <c r="M12" s="111"/>
    </row>
    <row r="13" spans="2:13" x14ac:dyDescent="0.2">
      <c r="B13" s="178" t="s">
        <v>93</v>
      </c>
      <c r="C13" s="21">
        <v>0</v>
      </c>
      <c r="D13" s="111">
        <f>Inputs!C31</f>
        <v>26526</v>
      </c>
      <c r="E13" s="21">
        <v>1</v>
      </c>
      <c r="F13" s="154">
        <f>C13*E13</f>
        <v>0</v>
      </c>
      <c r="G13" s="272">
        <v>0</v>
      </c>
      <c r="H13" s="154">
        <f>G13*F13</f>
        <v>0</v>
      </c>
      <c r="I13" s="154">
        <f>H13*0.1</f>
        <v>0</v>
      </c>
      <c r="J13" s="154">
        <f>H13*0.05</f>
        <v>0</v>
      </c>
      <c r="K13" s="154">
        <f>SUM(H13:J13)</f>
        <v>0</v>
      </c>
      <c r="L13" s="111">
        <f>ROUND(H13*Inputs!$G$82+I13*Inputs!$G$84+J13*Inputs!$G$83,0)</f>
        <v>0</v>
      </c>
      <c r="M13" s="111">
        <f>D13*E13*G13</f>
        <v>0</v>
      </c>
    </row>
    <row r="14" spans="2:13" x14ac:dyDescent="0.2">
      <c r="B14" s="178" t="s">
        <v>94</v>
      </c>
      <c r="C14" s="21">
        <v>0</v>
      </c>
      <c r="D14" s="111">
        <f>Inputs!D31</f>
        <v>6784</v>
      </c>
      <c r="E14" s="21">
        <v>1</v>
      </c>
      <c r="F14" s="154">
        <f>C14*E14</f>
        <v>0</v>
      </c>
      <c r="G14" s="272">
        <v>0</v>
      </c>
      <c r="H14" s="154">
        <f>G14*F14</f>
        <v>0</v>
      </c>
      <c r="I14" s="154">
        <f>H14*0.1</f>
        <v>0</v>
      </c>
      <c r="J14" s="154">
        <f>H14*0.05</f>
        <v>0</v>
      </c>
      <c r="K14" s="154">
        <f>SUM(H14:J14)</f>
        <v>0</v>
      </c>
      <c r="L14" s="111">
        <f>ROUND(H14*Inputs!$G$82+I14*Inputs!$G$84+J14*Inputs!$G$83,0)</f>
        <v>0</v>
      </c>
      <c r="M14" s="111">
        <f>D14*E14*G14</f>
        <v>0</v>
      </c>
    </row>
    <row r="15" spans="2:13" x14ac:dyDescent="0.2">
      <c r="B15" s="179" t="s">
        <v>152</v>
      </c>
      <c r="C15" s="21"/>
      <c r="D15" s="111"/>
      <c r="E15" s="21"/>
      <c r="F15" s="154"/>
      <c r="G15" s="272"/>
      <c r="H15" s="154"/>
      <c r="I15" s="154"/>
      <c r="J15" s="154"/>
      <c r="K15" s="154"/>
      <c r="L15" s="111"/>
      <c r="M15" s="111"/>
    </row>
    <row r="16" spans="2:13" x14ac:dyDescent="0.2">
      <c r="B16" s="178" t="s">
        <v>93</v>
      </c>
      <c r="C16" s="21">
        <v>0</v>
      </c>
      <c r="D16" s="111">
        <f>Inputs!C37</f>
        <v>2543</v>
      </c>
      <c r="E16" s="21">
        <v>1</v>
      </c>
      <c r="F16" s="154">
        <f>C16*E16</f>
        <v>0</v>
      </c>
      <c r="G16" s="272">
        <v>0</v>
      </c>
      <c r="H16" s="154">
        <f>G16*F16</f>
        <v>0</v>
      </c>
      <c r="I16" s="154">
        <f>H16*0.1</f>
        <v>0</v>
      </c>
      <c r="J16" s="154">
        <f>H16*0.05</f>
        <v>0</v>
      </c>
      <c r="K16" s="154">
        <f>SUM(H16:J16)</f>
        <v>0</v>
      </c>
      <c r="L16" s="111">
        <f>ROUND(H16*Inputs!$G$82+I16*Inputs!$G$84+J16*Inputs!$G$83,0)</f>
        <v>0</v>
      </c>
      <c r="M16" s="111">
        <f>D16*E16*G16</f>
        <v>0</v>
      </c>
    </row>
    <row r="17" spans="2:13" x14ac:dyDescent="0.2">
      <c r="B17" s="178" t="s">
        <v>94</v>
      </c>
      <c r="C17" s="21">
        <v>0</v>
      </c>
      <c r="D17" s="111">
        <f>Inputs!D37</f>
        <v>523</v>
      </c>
      <c r="E17" s="21">
        <v>1</v>
      </c>
      <c r="F17" s="154">
        <f>C17*E17</f>
        <v>0</v>
      </c>
      <c r="G17" s="272">
        <v>0</v>
      </c>
      <c r="H17" s="154">
        <f>G17*F17</f>
        <v>0</v>
      </c>
      <c r="I17" s="154">
        <f>H17*0.1</f>
        <v>0</v>
      </c>
      <c r="J17" s="154">
        <f>H17*0.05</f>
        <v>0</v>
      </c>
      <c r="K17" s="154">
        <f>SUM(H17:J17)</f>
        <v>0</v>
      </c>
      <c r="L17" s="111">
        <f>ROUND(H17*Inputs!$G$82+I17*Inputs!$G$84+J17*Inputs!$G$83,0)</f>
        <v>0</v>
      </c>
      <c r="M17" s="111">
        <f>D17*E17*G17</f>
        <v>0</v>
      </c>
    </row>
    <row r="18" spans="2:13" ht="22" x14ac:dyDescent="0.2">
      <c r="B18" s="177" t="s">
        <v>255</v>
      </c>
      <c r="C18" s="21"/>
      <c r="D18" s="111"/>
      <c r="E18" s="21"/>
      <c r="F18" s="154"/>
      <c r="G18" s="272"/>
      <c r="H18" s="154"/>
      <c r="I18" s="154"/>
      <c r="J18" s="154"/>
      <c r="K18" s="154"/>
      <c r="L18" s="111"/>
      <c r="M18" s="111"/>
    </row>
    <row r="19" spans="2:13" x14ac:dyDescent="0.2">
      <c r="B19" s="178" t="s">
        <v>93</v>
      </c>
      <c r="C19" s="21">
        <v>0</v>
      </c>
      <c r="D19" s="111">
        <f>Inputs!C43</f>
        <v>16500</v>
      </c>
      <c r="E19" s="21">
        <v>1</v>
      </c>
      <c r="F19" s="154">
        <f>C19*E19</f>
        <v>0</v>
      </c>
      <c r="G19" s="272">
        <v>0</v>
      </c>
      <c r="H19" s="154">
        <f>G19*F19</f>
        <v>0</v>
      </c>
      <c r="I19" s="154">
        <f>H19*0.1</f>
        <v>0</v>
      </c>
      <c r="J19" s="154">
        <f>H19*0.05</f>
        <v>0</v>
      </c>
      <c r="K19" s="154">
        <f>SUM(H19:J19)</f>
        <v>0</v>
      </c>
      <c r="L19" s="111">
        <f>ROUND(H19*Inputs!$G$82+I19*Inputs!$G$84+J19*Inputs!$G$83,0)</f>
        <v>0</v>
      </c>
      <c r="M19" s="111">
        <f>D19*E19*G19</f>
        <v>0</v>
      </c>
    </row>
    <row r="20" spans="2:13" x14ac:dyDescent="0.2">
      <c r="B20" s="178" t="s">
        <v>94</v>
      </c>
      <c r="C20" s="21">
        <v>0</v>
      </c>
      <c r="D20" s="111">
        <f>Inputs!D43</f>
        <v>1400</v>
      </c>
      <c r="E20" s="21">
        <v>1</v>
      </c>
      <c r="F20" s="154">
        <f>C20*E20</f>
        <v>0</v>
      </c>
      <c r="G20" s="272">
        <v>0</v>
      </c>
      <c r="H20" s="154">
        <f>G20*F20</f>
        <v>0</v>
      </c>
      <c r="I20" s="154">
        <f>H20*0.1</f>
        <v>0</v>
      </c>
      <c r="J20" s="154">
        <f>H20*0.05</f>
        <v>0</v>
      </c>
      <c r="K20" s="154">
        <f>SUM(H20:J20)</f>
        <v>0</v>
      </c>
      <c r="L20" s="111">
        <f>ROUND(H20*Inputs!$G$82+I20*Inputs!$G$84+J20*Inputs!$G$83,0)</f>
        <v>0</v>
      </c>
      <c r="M20" s="111">
        <f>D20*E20*G20</f>
        <v>0</v>
      </c>
    </row>
    <row r="21" spans="2:13" x14ac:dyDescent="0.2">
      <c r="B21" s="177" t="s">
        <v>190</v>
      </c>
      <c r="C21" s="21"/>
      <c r="D21" s="111"/>
      <c r="E21" s="21"/>
      <c r="F21" s="154"/>
      <c r="G21" s="272"/>
      <c r="H21" s="154"/>
      <c r="I21" s="154"/>
      <c r="J21" s="154"/>
      <c r="K21" s="154"/>
      <c r="L21" s="111"/>
      <c r="M21" s="111"/>
    </row>
    <row r="22" spans="2:13" x14ac:dyDescent="0.2">
      <c r="B22" s="178" t="s">
        <v>93</v>
      </c>
      <c r="C22" s="21">
        <v>0</v>
      </c>
      <c r="D22" s="111">
        <f>Inputs!C49</f>
        <v>116</v>
      </c>
      <c r="E22" s="21">
        <v>1</v>
      </c>
      <c r="F22" s="154">
        <f>C22*E22</f>
        <v>0</v>
      </c>
      <c r="G22" s="272">
        <v>0</v>
      </c>
      <c r="H22" s="154">
        <f>G22*F22</f>
        <v>0</v>
      </c>
      <c r="I22" s="154">
        <f>H22*0.1</f>
        <v>0</v>
      </c>
      <c r="J22" s="154">
        <f>H22*0.05</f>
        <v>0</v>
      </c>
      <c r="K22" s="154">
        <f>SUM(H22:J22)</f>
        <v>0</v>
      </c>
      <c r="L22" s="111">
        <f>ROUND(H22*Inputs!$G$82+I22*Inputs!$G$84+J22*Inputs!$G$83,0)</f>
        <v>0</v>
      </c>
      <c r="M22" s="111">
        <f>D22*E22*G22</f>
        <v>0</v>
      </c>
    </row>
    <row r="23" spans="2:13" x14ac:dyDescent="0.2">
      <c r="B23" s="178" t="s">
        <v>94</v>
      </c>
      <c r="C23" s="21">
        <v>0</v>
      </c>
      <c r="D23" s="111">
        <f>Inputs!D49</f>
        <v>109</v>
      </c>
      <c r="E23" s="21">
        <v>1</v>
      </c>
      <c r="F23" s="154">
        <f>C23*E23</f>
        <v>0</v>
      </c>
      <c r="G23" s="272">
        <v>0</v>
      </c>
      <c r="H23" s="154">
        <f>G23*F23</f>
        <v>0</v>
      </c>
      <c r="I23" s="154">
        <f>H23*0.1</f>
        <v>0</v>
      </c>
      <c r="J23" s="154">
        <f>H23*0.05</f>
        <v>0</v>
      </c>
      <c r="K23" s="154">
        <f>SUM(H23:J23)</f>
        <v>0</v>
      </c>
      <c r="L23" s="111">
        <f>ROUND(H23*Inputs!$G$82+I23*Inputs!$G$84+J23*Inputs!$G$83,0)</f>
        <v>0</v>
      </c>
      <c r="M23" s="111">
        <f>D23*E23*G23</f>
        <v>0</v>
      </c>
    </row>
    <row r="24" spans="2:13" ht="20" x14ac:dyDescent="0.2">
      <c r="B24" s="177" t="s">
        <v>191</v>
      </c>
      <c r="C24" s="21"/>
      <c r="D24" s="111"/>
      <c r="E24" s="21"/>
      <c r="F24" s="154"/>
      <c r="G24" s="272"/>
      <c r="H24" s="154"/>
      <c r="I24" s="154"/>
      <c r="J24" s="154"/>
      <c r="K24" s="154"/>
      <c r="L24" s="111"/>
      <c r="M24" s="111"/>
    </row>
    <row r="25" spans="2:13" x14ac:dyDescent="0.2">
      <c r="B25" s="178" t="s">
        <v>93</v>
      </c>
      <c r="C25" s="21">
        <v>0</v>
      </c>
      <c r="D25" s="111">
        <f>Inputs!C55</f>
        <v>2080</v>
      </c>
      <c r="E25" s="21">
        <v>1</v>
      </c>
      <c r="F25" s="154">
        <f>C25*E25</f>
        <v>0</v>
      </c>
      <c r="G25" s="272">
        <v>0</v>
      </c>
      <c r="H25" s="154">
        <f>G25*F25</f>
        <v>0</v>
      </c>
      <c r="I25" s="154">
        <f>H25*0.1</f>
        <v>0</v>
      </c>
      <c r="J25" s="154">
        <f>H25*0.05</f>
        <v>0</v>
      </c>
      <c r="K25" s="154">
        <f>SUM(H25:J25)</f>
        <v>0</v>
      </c>
      <c r="L25" s="111">
        <f>ROUND(H25*Inputs!$G$82+I25*Inputs!$G$84+J25*Inputs!$G$83,0)</f>
        <v>0</v>
      </c>
      <c r="M25" s="111">
        <f>D25*E25*G25</f>
        <v>0</v>
      </c>
    </row>
    <row r="26" spans="2:13" x14ac:dyDescent="0.2">
      <c r="B26" s="178" t="s">
        <v>94</v>
      </c>
      <c r="C26" s="21">
        <v>0</v>
      </c>
      <c r="D26" s="111">
        <f>Inputs!D55</f>
        <v>360</v>
      </c>
      <c r="E26" s="21">
        <v>1</v>
      </c>
      <c r="F26" s="154">
        <f>C26*E26</f>
        <v>0</v>
      </c>
      <c r="G26" s="272">
        <v>0</v>
      </c>
      <c r="H26" s="154">
        <f>G26*F26</f>
        <v>0</v>
      </c>
      <c r="I26" s="154">
        <f>H26*0.1</f>
        <v>0</v>
      </c>
      <c r="J26" s="154">
        <f>H26*0.05</f>
        <v>0</v>
      </c>
      <c r="K26" s="154">
        <f>SUM(H26:J26)</f>
        <v>0</v>
      </c>
      <c r="L26" s="111">
        <f>ROUND(H26*Inputs!$G$82+I26*Inputs!$G$84+J26*Inputs!$G$83,0)</f>
        <v>0</v>
      </c>
      <c r="M26" s="111">
        <f>D26*E26*G26</f>
        <v>0</v>
      </c>
    </row>
    <row r="27" spans="2:13" ht="22" x14ac:dyDescent="0.2">
      <c r="B27" s="177" t="s">
        <v>256</v>
      </c>
      <c r="C27" s="21"/>
      <c r="D27" s="111"/>
      <c r="E27" s="21"/>
      <c r="F27" s="154"/>
      <c r="G27" s="272"/>
      <c r="H27" s="154"/>
      <c r="I27" s="154"/>
      <c r="J27" s="154"/>
      <c r="K27" s="154"/>
      <c r="L27" s="111"/>
      <c r="M27" s="111"/>
    </row>
    <row r="28" spans="2:13" x14ac:dyDescent="0.2">
      <c r="B28" s="178" t="s">
        <v>93</v>
      </c>
      <c r="C28" s="21">
        <v>0</v>
      </c>
      <c r="D28" s="111">
        <f>Inputs!C61</f>
        <v>560000</v>
      </c>
      <c r="E28" s="21">
        <v>1</v>
      </c>
      <c r="F28" s="154">
        <f>C28*E28</f>
        <v>0</v>
      </c>
      <c r="G28" s="272">
        <v>0</v>
      </c>
      <c r="H28" s="154">
        <f>G28*F28</f>
        <v>0</v>
      </c>
      <c r="I28" s="154">
        <f>H28*0.1</f>
        <v>0</v>
      </c>
      <c r="J28" s="154">
        <f>H28*0.05</f>
        <v>0</v>
      </c>
      <c r="K28" s="154">
        <f>SUM(H28:J28)</f>
        <v>0</v>
      </c>
      <c r="L28" s="111">
        <f>ROUND(H28*Inputs!$G$82+I28*Inputs!$G$84+J28*Inputs!$G$83,0)</f>
        <v>0</v>
      </c>
      <c r="M28" s="111">
        <f>D28*E28*G28</f>
        <v>0</v>
      </c>
    </row>
    <row r="29" spans="2:13" x14ac:dyDescent="0.2">
      <c r="B29" s="178" t="s">
        <v>94</v>
      </c>
      <c r="C29" s="21">
        <v>0</v>
      </c>
      <c r="D29" s="111">
        <f>Inputs!D61</f>
        <v>325000</v>
      </c>
      <c r="E29" s="21">
        <v>1</v>
      </c>
      <c r="F29" s="154">
        <f>C29*E29</f>
        <v>0</v>
      </c>
      <c r="G29" s="272">
        <v>0</v>
      </c>
      <c r="H29" s="154">
        <f>G29*F29</f>
        <v>0</v>
      </c>
      <c r="I29" s="154">
        <f>H29*0.1</f>
        <v>0</v>
      </c>
      <c r="J29" s="154">
        <f>H29*0.05</f>
        <v>0</v>
      </c>
      <c r="K29" s="154">
        <f>SUM(H29:J29)</f>
        <v>0</v>
      </c>
      <c r="L29" s="111">
        <f>ROUND(H29*Inputs!$G$82+I29*Inputs!$G$84+J29*Inputs!$G$83,0)</f>
        <v>0</v>
      </c>
      <c r="M29" s="111">
        <f>D29*E29*G29</f>
        <v>0</v>
      </c>
    </row>
    <row r="30" spans="2:13" ht="12" x14ac:dyDescent="0.2">
      <c r="B30" s="177" t="s">
        <v>257</v>
      </c>
      <c r="C30" s="21"/>
      <c r="D30" s="111"/>
      <c r="E30" s="21"/>
      <c r="F30" s="154"/>
      <c r="G30" s="272"/>
      <c r="H30" s="154"/>
      <c r="I30" s="154"/>
      <c r="J30" s="154"/>
      <c r="K30" s="154"/>
      <c r="L30" s="111"/>
      <c r="M30" s="111"/>
    </row>
    <row r="31" spans="2:13" x14ac:dyDescent="0.2">
      <c r="B31" s="178" t="s">
        <v>93</v>
      </c>
      <c r="C31" s="21">
        <v>0</v>
      </c>
      <c r="D31" s="111">
        <f>Inputs!C67</f>
        <v>10625</v>
      </c>
      <c r="E31" s="21">
        <v>1</v>
      </c>
      <c r="F31" s="154">
        <f>C31*E31</f>
        <v>0</v>
      </c>
      <c r="G31" s="272">
        <v>0</v>
      </c>
      <c r="H31" s="154">
        <f>G31*F31</f>
        <v>0</v>
      </c>
      <c r="I31" s="154">
        <f>H31*0.1</f>
        <v>0</v>
      </c>
      <c r="J31" s="154">
        <f>H31*0.05</f>
        <v>0</v>
      </c>
      <c r="K31" s="154">
        <f>SUM(H31:J31)</f>
        <v>0</v>
      </c>
      <c r="L31" s="111">
        <f>ROUND(H31*Inputs!$G$82+I31*Inputs!$G$84+J31*Inputs!$G$83,0)</f>
        <v>0</v>
      </c>
      <c r="M31" s="111">
        <f>D31*E31*G31</f>
        <v>0</v>
      </c>
    </row>
    <row r="32" spans="2:13" x14ac:dyDescent="0.2">
      <c r="B32" s="178" t="s">
        <v>94</v>
      </c>
      <c r="C32" s="21">
        <v>0</v>
      </c>
      <c r="D32" s="111">
        <f>Inputs!D67</f>
        <v>104583</v>
      </c>
      <c r="E32" s="21">
        <v>1</v>
      </c>
      <c r="F32" s="154">
        <f>C32*E32</f>
        <v>0</v>
      </c>
      <c r="G32" s="272">
        <v>0</v>
      </c>
      <c r="H32" s="154">
        <f>G32*F32</f>
        <v>0</v>
      </c>
      <c r="I32" s="154">
        <f>H32*0.1</f>
        <v>0</v>
      </c>
      <c r="J32" s="154">
        <f>H32*0.05</f>
        <v>0</v>
      </c>
      <c r="K32" s="154">
        <f>SUM(H32:J32)</f>
        <v>0</v>
      </c>
      <c r="L32" s="111">
        <f>ROUND(H32*Inputs!$G$82+I32*Inputs!$G$84+J32*Inputs!$G$83,0)</f>
        <v>0</v>
      </c>
      <c r="M32" s="111">
        <f>D32*E32*G32</f>
        <v>0</v>
      </c>
    </row>
    <row r="33" spans="2:15" ht="20" x14ac:dyDescent="0.2">
      <c r="B33" s="177" t="s">
        <v>192</v>
      </c>
      <c r="C33" s="21"/>
      <c r="D33" s="111"/>
      <c r="E33" s="21"/>
      <c r="F33" s="154"/>
      <c r="G33" s="272"/>
      <c r="H33" s="154"/>
      <c r="I33" s="154"/>
      <c r="J33" s="154"/>
      <c r="K33" s="154"/>
      <c r="L33" s="111"/>
      <c r="M33" s="111"/>
    </row>
    <row r="34" spans="2:15" x14ac:dyDescent="0.2">
      <c r="B34" s="178" t="s">
        <v>93</v>
      </c>
      <c r="C34" s="21">
        <v>0</v>
      </c>
      <c r="D34" s="111">
        <f>Inputs!C74</f>
        <v>39277</v>
      </c>
      <c r="E34" s="21">
        <v>1</v>
      </c>
      <c r="F34" s="154">
        <f>C34*E34</f>
        <v>0</v>
      </c>
      <c r="G34" s="272">
        <v>0</v>
      </c>
      <c r="H34" s="154">
        <f>G34*F34</f>
        <v>0</v>
      </c>
      <c r="I34" s="154">
        <f>H34*0.1</f>
        <v>0</v>
      </c>
      <c r="J34" s="154">
        <f>H34*0.05</f>
        <v>0</v>
      </c>
      <c r="K34" s="154">
        <f>SUM(H34:J34)</f>
        <v>0</v>
      </c>
      <c r="L34" s="111">
        <f>ROUND(H34*Inputs!$G$82+I34*Inputs!$G$84+J34*Inputs!$G$83,0)</f>
        <v>0</v>
      </c>
      <c r="M34" s="111">
        <f>D34*E34*G34</f>
        <v>0</v>
      </c>
    </row>
    <row r="35" spans="2:15" x14ac:dyDescent="0.2">
      <c r="B35" s="178" t="s">
        <v>94</v>
      </c>
      <c r="C35" s="21">
        <v>0</v>
      </c>
      <c r="D35" s="111">
        <f>Inputs!D74</f>
        <v>98884</v>
      </c>
      <c r="E35" s="21">
        <v>1</v>
      </c>
      <c r="F35" s="154">
        <f>C35*E35</f>
        <v>0</v>
      </c>
      <c r="G35" s="272">
        <v>0</v>
      </c>
      <c r="H35" s="154">
        <f>G35*F35</f>
        <v>0</v>
      </c>
      <c r="I35" s="154">
        <f>H35*0.1</f>
        <v>0</v>
      </c>
      <c r="J35" s="154">
        <f>H35*0.05</f>
        <v>0</v>
      </c>
      <c r="K35" s="154">
        <f>SUM(H35:J35)</f>
        <v>0</v>
      </c>
      <c r="L35" s="111">
        <f>ROUND(H35*Inputs!$G$82+I35*Inputs!$G$84+J35*Inputs!$G$83,0)</f>
        <v>0</v>
      </c>
      <c r="M35" s="111">
        <f>D35*E35*G35</f>
        <v>0</v>
      </c>
    </row>
    <row r="36" spans="2:15" ht="22.9" customHeight="1" x14ac:dyDescent="0.2">
      <c r="B36" s="177" t="s">
        <v>258</v>
      </c>
      <c r="C36" s="21"/>
      <c r="D36" s="111"/>
      <c r="E36" s="21"/>
      <c r="F36" s="154"/>
      <c r="G36" s="272"/>
      <c r="H36" s="154"/>
      <c r="I36" s="154"/>
      <c r="J36" s="154"/>
      <c r="K36" s="154"/>
      <c r="L36" s="111"/>
      <c r="M36" s="111"/>
    </row>
    <row r="37" spans="2:15" x14ac:dyDescent="0.2">
      <c r="B37" s="178" t="s">
        <v>93</v>
      </c>
      <c r="C37" s="21">
        <v>0</v>
      </c>
      <c r="D37" s="111">
        <f>Inputs!J13</f>
        <v>1457857.142857143</v>
      </c>
      <c r="E37" s="21">
        <v>1</v>
      </c>
      <c r="F37" s="154">
        <f>C37*E37</f>
        <v>0</v>
      </c>
      <c r="G37" s="154">
        <v>0</v>
      </c>
      <c r="H37" s="154">
        <f>G37*F37</f>
        <v>0</v>
      </c>
      <c r="I37" s="154">
        <f>H37*0.1</f>
        <v>0</v>
      </c>
      <c r="J37" s="154">
        <f>H37*0.05</f>
        <v>0</v>
      </c>
      <c r="K37" s="154">
        <f>SUM(H37:J37)</f>
        <v>0</v>
      </c>
      <c r="L37" s="111">
        <f>ROUND(H37*Inputs!$G$82+I37*Inputs!$G$84+J37*Inputs!$G$83,0)</f>
        <v>0</v>
      </c>
      <c r="M37" s="111">
        <f>D37*E37*G37</f>
        <v>0</v>
      </c>
    </row>
    <row r="38" spans="2:15" x14ac:dyDescent="0.2">
      <c r="B38" s="178" t="s">
        <v>94</v>
      </c>
      <c r="C38" s="21">
        <v>0</v>
      </c>
      <c r="D38" s="111">
        <f>Inputs!K13</f>
        <v>753714.28571428568</v>
      </c>
      <c r="E38" s="21">
        <v>1</v>
      </c>
      <c r="F38" s="154">
        <f>C38*E38</f>
        <v>0</v>
      </c>
      <c r="G38" s="154">
        <v>0</v>
      </c>
      <c r="H38" s="154">
        <f>G38*F38</f>
        <v>0</v>
      </c>
      <c r="I38" s="154">
        <f>H38*0.1</f>
        <v>0</v>
      </c>
      <c r="J38" s="154">
        <f>H38*0.05</f>
        <v>0</v>
      </c>
      <c r="K38" s="154">
        <f>SUM(H38:J38)</f>
        <v>0</v>
      </c>
      <c r="L38" s="111">
        <f>ROUND(H38*Inputs!$G$82+I38*Inputs!$G$84+J38*Inputs!$G$83,0)</f>
        <v>0</v>
      </c>
      <c r="M38" s="111">
        <f>D38*E38*G38</f>
        <v>0</v>
      </c>
    </row>
    <row r="39" spans="2:15" ht="23.5" customHeight="1" x14ac:dyDescent="0.2">
      <c r="B39" s="177" t="s">
        <v>259</v>
      </c>
      <c r="C39" s="21"/>
      <c r="D39" s="111"/>
      <c r="E39" s="21"/>
      <c r="F39" s="154"/>
      <c r="G39" s="154"/>
      <c r="H39" s="154"/>
      <c r="I39" s="154"/>
      <c r="J39" s="154"/>
      <c r="K39" s="154"/>
      <c r="L39" s="111"/>
      <c r="M39" s="111"/>
    </row>
    <row r="40" spans="2:15" x14ac:dyDescent="0.2">
      <c r="B40" s="178" t="s">
        <v>93</v>
      </c>
      <c r="C40" s="21">
        <v>0</v>
      </c>
      <c r="D40" s="111">
        <f>Inputs!N11</f>
        <v>23200</v>
      </c>
      <c r="E40" s="21">
        <v>1</v>
      </c>
      <c r="F40" s="154">
        <f>C40*E40</f>
        <v>0</v>
      </c>
      <c r="G40" s="154">
        <v>0</v>
      </c>
      <c r="H40" s="154">
        <f>G40*F40</f>
        <v>0</v>
      </c>
      <c r="I40" s="154">
        <f>H40*0.1</f>
        <v>0</v>
      </c>
      <c r="J40" s="154">
        <f>H40*0.05</f>
        <v>0</v>
      </c>
      <c r="K40" s="154">
        <f>SUM(H40:J40)</f>
        <v>0</v>
      </c>
      <c r="L40" s="111">
        <f>ROUND(H40*Inputs!$G$82+I40*Inputs!$G$84+J40*Inputs!$G$83,0)</f>
        <v>0</v>
      </c>
      <c r="M40" s="111">
        <f>D40*E40*G40</f>
        <v>0</v>
      </c>
      <c r="O40" s="227"/>
    </row>
    <row r="41" spans="2:15" x14ac:dyDescent="0.2">
      <c r="B41" s="178" t="s">
        <v>94</v>
      </c>
      <c r="C41" s="21">
        <v>0</v>
      </c>
      <c r="D41" s="111">
        <f>Inputs!N12</f>
        <v>4900</v>
      </c>
      <c r="E41" s="21">
        <v>1</v>
      </c>
      <c r="F41" s="154">
        <f>C41*E41</f>
        <v>0</v>
      </c>
      <c r="G41" s="154">
        <v>0</v>
      </c>
      <c r="H41" s="154">
        <f>G41*F41</f>
        <v>0</v>
      </c>
      <c r="I41" s="154">
        <f>H41*0.1</f>
        <v>0</v>
      </c>
      <c r="J41" s="154">
        <f>H41*0.05</f>
        <v>0</v>
      </c>
      <c r="K41" s="154">
        <f>SUM(H41:J41)</f>
        <v>0</v>
      </c>
      <c r="L41" s="111">
        <f>ROUND(H41*Inputs!$G$82+I41*Inputs!$G$84+J41*Inputs!$G$83,0)</f>
        <v>0</v>
      </c>
      <c r="M41" s="111">
        <f>D41*E41*G41</f>
        <v>0</v>
      </c>
    </row>
    <row r="42" spans="2:15" ht="21.65" customHeight="1" x14ac:dyDescent="0.2">
      <c r="B42" s="177" t="s">
        <v>260</v>
      </c>
      <c r="C42" s="21"/>
      <c r="D42" s="111"/>
      <c r="E42" s="21"/>
      <c r="F42" s="154"/>
      <c r="G42" s="154"/>
      <c r="H42" s="154"/>
      <c r="I42" s="154"/>
      <c r="J42" s="154"/>
      <c r="K42" s="154"/>
      <c r="L42" s="111"/>
      <c r="M42" s="111"/>
    </row>
    <row r="43" spans="2:15" x14ac:dyDescent="0.2">
      <c r="B43" s="178" t="s">
        <v>155</v>
      </c>
      <c r="C43" s="21">
        <v>0</v>
      </c>
      <c r="D43" s="111">
        <f>Inputs!N13</f>
        <v>38302</v>
      </c>
      <c r="E43" s="21">
        <v>1</v>
      </c>
      <c r="F43" s="154">
        <f>C43*E43</f>
        <v>0</v>
      </c>
      <c r="G43" s="154">
        <v>0</v>
      </c>
      <c r="H43" s="154">
        <f>G43*F43</f>
        <v>0</v>
      </c>
      <c r="I43" s="154">
        <f>H43*0.1</f>
        <v>0</v>
      </c>
      <c r="J43" s="154">
        <f>H43*0.05</f>
        <v>0</v>
      </c>
      <c r="K43" s="154">
        <f>SUM(H43:J43)</f>
        <v>0</v>
      </c>
      <c r="L43" s="111">
        <f>ROUND(H43*Inputs!$G$82+I43*Inputs!$G$84+J43*Inputs!$G$83,0)</f>
        <v>0</v>
      </c>
      <c r="M43" s="111">
        <f>D43*E43*G43</f>
        <v>0</v>
      </c>
    </row>
    <row r="44" spans="2:15" ht="12" x14ac:dyDescent="0.2">
      <c r="B44" s="178" t="s">
        <v>261</v>
      </c>
      <c r="C44" s="21">
        <v>0</v>
      </c>
      <c r="D44" s="111">
        <f>Inputs!J14</f>
        <v>0</v>
      </c>
      <c r="E44" s="21">
        <v>1</v>
      </c>
      <c r="F44" s="154">
        <f>C44*E44</f>
        <v>0</v>
      </c>
      <c r="G44" s="154">
        <v>0</v>
      </c>
      <c r="H44" s="154">
        <f>G44*F44</f>
        <v>0</v>
      </c>
      <c r="I44" s="154">
        <f>H44*0.1</f>
        <v>0</v>
      </c>
      <c r="J44" s="154">
        <f>H44*0.05</f>
        <v>0</v>
      </c>
      <c r="K44" s="154">
        <f>SUM(H44:J44)</f>
        <v>0</v>
      </c>
      <c r="L44" s="111">
        <f>ROUND(H44*Inputs!$G$82+I44*Inputs!$G$84+J44*Inputs!$G$83,0)</f>
        <v>0</v>
      </c>
      <c r="M44" s="111">
        <f>D44*E44*G44</f>
        <v>0</v>
      </c>
    </row>
    <row r="45" spans="2:15" x14ac:dyDescent="0.2">
      <c r="B45" s="176" t="s">
        <v>62</v>
      </c>
      <c r="C45" s="21" t="s">
        <v>64</v>
      </c>
      <c r="D45" s="111"/>
      <c r="E45" s="21"/>
      <c r="F45" s="154"/>
      <c r="G45" s="154"/>
      <c r="H45" s="154"/>
      <c r="I45" s="154"/>
      <c r="J45" s="154"/>
      <c r="K45" s="154"/>
      <c r="L45" s="111"/>
      <c r="M45" s="111"/>
    </row>
    <row r="46" spans="2:15" x14ac:dyDescent="0.2">
      <c r="B46" s="176" t="s">
        <v>63</v>
      </c>
      <c r="C46" s="21" t="s">
        <v>65</v>
      </c>
      <c r="D46" s="111"/>
      <c r="E46" s="21"/>
      <c r="F46" s="154"/>
      <c r="G46" s="154"/>
      <c r="H46" s="154"/>
      <c r="I46" s="154"/>
      <c r="J46" s="154"/>
      <c r="K46" s="154"/>
      <c r="L46" s="111"/>
      <c r="M46" s="111"/>
    </row>
    <row r="47" spans="2:15" x14ac:dyDescent="0.2">
      <c r="B47" s="176" t="s">
        <v>66</v>
      </c>
      <c r="C47" s="21"/>
      <c r="D47" s="111"/>
      <c r="E47" s="21"/>
      <c r="F47" s="154"/>
      <c r="G47" s="154"/>
      <c r="H47" s="154"/>
      <c r="I47" s="154"/>
      <c r="J47" s="154"/>
      <c r="K47" s="154"/>
      <c r="L47" s="111"/>
      <c r="M47" s="111"/>
    </row>
    <row r="48" spans="2:15" x14ac:dyDescent="0.2">
      <c r="B48" s="177" t="s">
        <v>157</v>
      </c>
      <c r="C48" s="21"/>
      <c r="D48" s="111"/>
      <c r="E48" s="21"/>
      <c r="F48" s="154"/>
      <c r="G48" s="154"/>
      <c r="H48" s="154"/>
      <c r="I48" s="154"/>
      <c r="J48" s="154"/>
      <c r="K48" s="154"/>
      <c r="L48" s="111"/>
      <c r="M48" s="111"/>
    </row>
    <row r="49" spans="2:13" x14ac:dyDescent="0.2">
      <c r="B49" s="178" t="s">
        <v>108</v>
      </c>
      <c r="C49" s="21">
        <v>5</v>
      </c>
      <c r="D49" s="111">
        <v>0</v>
      </c>
      <c r="E49" s="21">
        <v>1</v>
      </c>
      <c r="F49" s="154">
        <f t="shared" ref="F49:F56" si="0">C49*E49</f>
        <v>5</v>
      </c>
      <c r="G49" s="272">
        <f>G10</f>
        <v>0</v>
      </c>
      <c r="H49" s="154">
        <f t="shared" ref="H49:H56" si="1">G49*F49</f>
        <v>0</v>
      </c>
      <c r="I49" s="154">
        <f t="shared" ref="I49:I56" si="2">H49*0.1</f>
        <v>0</v>
      </c>
      <c r="J49" s="154">
        <f t="shared" ref="J49:J56" si="3">H49*0.05</f>
        <v>0</v>
      </c>
      <c r="K49" s="154">
        <f t="shared" ref="K49:K56" si="4">SUM(H49:J49)</f>
        <v>0</v>
      </c>
      <c r="L49" s="111">
        <f>ROUND(H49*Inputs!$G$82+I49*Inputs!$G$84+J49*Inputs!$G$83,0)</f>
        <v>0</v>
      </c>
      <c r="M49" s="111">
        <f t="shared" ref="M49:M56" si="5">D49*E49*G49</f>
        <v>0</v>
      </c>
    </row>
    <row r="50" spans="2:13" x14ac:dyDescent="0.2">
      <c r="B50" s="178" t="s">
        <v>109</v>
      </c>
      <c r="C50" s="21">
        <v>15</v>
      </c>
      <c r="D50" s="111">
        <v>0</v>
      </c>
      <c r="E50" s="21">
        <v>1</v>
      </c>
      <c r="F50" s="154">
        <f t="shared" si="0"/>
        <v>15</v>
      </c>
      <c r="G50" s="272">
        <f>G13</f>
        <v>0</v>
      </c>
      <c r="H50" s="154">
        <f t="shared" si="1"/>
        <v>0</v>
      </c>
      <c r="I50" s="154">
        <f t="shared" si="2"/>
        <v>0</v>
      </c>
      <c r="J50" s="154">
        <f t="shared" si="3"/>
        <v>0</v>
      </c>
      <c r="K50" s="154">
        <f t="shared" si="4"/>
        <v>0</v>
      </c>
      <c r="L50" s="111">
        <f>ROUND(H50*Inputs!$G$82+I50*Inputs!$G$84+J50*Inputs!$G$83,0)</f>
        <v>0</v>
      </c>
      <c r="M50" s="111">
        <f t="shared" si="5"/>
        <v>0</v>
      </c>
    </row>
    <row r="51" spans="2:13" x14ac:dyDescent="0.2">
      <c r="B51" s="178" t="s">
        <v>223</v>
      </c>
      <c r="C51" s="21">
        <v>10</v>
      </c>
      <c r="D51" s="111">
        <v>0</v>
      </c>
      <c r="E51" s="21">
        <v>1</v>
      </c>
      <c r="F51" s="154">
        <f t="shared" ref="F51:F54" si="6">C51*E51</f>
        <v>10</v>
      </c>
      <c r="G51" s="272">
        <f>G14</f>
        <v>0</v>
      </c>
      <c r="H51" s="154">
        <f t="shared" ref="H51:H54" si="7">G51*F51</f>
        <v>0</v>
      </c>
      <c r="I51" s="154">
        <f t="shared" ref="I51:I54" si="8">H51*0.1</f>
        <v>0</v>
      </c>
      <c r="J51" s="154">
        <f t="shared" ref="J51:J54" si="9">H51*0.05</f>
        <v>0</v>
      </c>
      <c r="K51" s="154">
        <f t="shared" ref="K51:K54" si="10">SUM(H51:J51)</f>
        <v>0</v>
      </c>
      <c r="L51" s="111">
        <f>ROUND(H51*Inputs!$G$82+I51*Inputs!$G$84+J51*Inputs!$G$83,0)</f>
        <v>0</v>
      </c>
      <c r="M51" s="111">
        <f t="shared" ref="M51:M54" si="11">D51*E51*G51</f>
        <v>0</v>
      </c>
    </row>
    <row r="52" spans="2:13" x14ac:dyDescent="0.2">
      <c r="B52" s="178" t="s">
        <v>224</v>
      </c>
      <c r="C52" s="21">
        <v>10</v>
      </c>
      <c r="D52" s="111">
        <v>0</v>
      </c>
      <c r="E52" s="21">
        <v>1</v>
      </c>
      <c r="F52" s="154">
        <f t="shared" ref="F52" si="12">C52*E52</f>
        <v>10</v>
      </c>
      <c r="G52" s="272">
        <f>G15</f>
        <v>0</v>
      </c>
      <c r="H52" s="154">
        <f t="shared" ref="H52" si="13">G52*F52</f>
        <v>0</v>
      </c>
      <c r="I52" s="154">
        <f t="shared" ref="I52" si="14">H52*0.1</f>
        <v>0</v>
      </c>
      <c r="J52" s="154">
        <f t="shared" ref="J52" si="15">H52*0.05</f>
        <v>0</v>
      </c>
      <c r="K52" s="154">
        <f t="shared" ref="K52" si="16">SUM(H52:J52)</f>
        <v>0</v>
      </c>
      <c r="L52" s="111">
        <f>ROUND(H52*Inputs!$G$82+I52*Inputs!$G$84+J52*Inputs!$G$83,0)</f>
        <v>0</v>
      </c>
      <c r="M52" s="111">
        <f t="shared" ref="M52" si="17">D52*E52*G52</f>
        <v>0</v>
      </c>
    </row>
    <row r="53" spans="2:13" x14ac:dyDescent="0.2">
      <c r="B53" s="178" t="s">
        <v>225</v>
      </c>
      <c r="C53" s="21">
        <v>10</v>
      </c>
      <c r="D53" s="111">
        <v>0</v>
      </c>
      <c r="E53" s="21">
        <v>1</v>
      </c>
      <c r="F53" s="154">
        <f t="shared" si="6"/>
        <v>10</v>
      </c>
      <c r="G53" s="272">
        <v>0</v>
      </c>
      <c r="H53" s="154">
        <f t="shared" si="7"/>
        <v>0</v>
      </c>
      <c r="I53" s="154">
        <f t="shared" si="8"/>
        <v>0</v>
      </c>
      <c r="J53" s="154">
        <f t="shared" si="9"/>
        <v>0</v>
      </c>
      <c r="K53" s="154">
        <f t="shared" si="10"/>
        <v>0</v>
      </c>
      <c r="L53" s="111">
        <f>ROUND(H53*Inputs!$G$82+I53*Inputs!$G$84+J53*Inputs!$G$83,0)</f>
        <v>0</v>
      </c>
      <c r="M53" s="111">
        <f t="shared" si="11"/>
        <v>0</v>
      </c>
    </row>
    <row r="54" spans="2:13" ht="12" x14ac:dyDescent="0.2">
      <c r="B54" s="178" t="s">
        <v>262</v>
      </c>
      <c r="C54" s="21">
        <v>5</v>
      </c>
      <c r="D54" s="111">
        <v>0</v>
      </c>
      <c r="E54" s="21">
        <v>1</v>
      </c>
      <c r="F54" s="154">
        <f t="shared" si="6"/>
        <v>5</v>
      </c>
      <c r="G54" s="272">
        <f>G16</f>
        <v>0</v>
      </c>
      <c r="H54" s="154">
        <f t="shared" si="7"/>
        <v>0</v>
      </c>
      <c r="I54" s="154">
        <f t="shared" si="8"/>
        <v>0</v>
      </c>
      <c r="J54" s="154">
        <f t="shared" si="9"/>
        <v>0</v>
      </c>
      <c r="K54" s="154">
        <f t="shared" si="10"/>
        <v>0</v>
      </c>
      <c r="L54" s="111">
        <f>ROUND(H54*Inputs!$G$82+I54*Inputs!$G$84+J54*Inputs!$G$83,0)</f>
        <v>0</v>
      </c>
      <c r="M54" s="111">
        <f t="shared" si="11"/>
        <v>0</v>
      </c>
    </row>
    <row r="55" spans="2:13" ht="22" x14ac:dyDescent="0.2">
      <c r="B55" s="236" t="s">
        <v>263</v>
      </c>
      <c r="C55" s="21">
        <v>4</v>
      </c>
      <c r="D55" s="111">
        <v>0</v>
      </c>
      <c r="E55" s="21">
        <v>1</v>
      </c>
      <c r="F55" s="154">
        <f t="shared" ref="F55" si="18">C55*E55</f>
        <v>4</v>
      </c>
      <c r="G55" s="154">
        <v>0</v>
      </c>
      <c r="H55" s="154">
        <f t="shared" ref="H55" si="19">G55*F55</f>
        <v>0</v>
      </c>
      <c r="I55" s="154">
        <f t="shared" ref="I55" si="20">H55*0.1</f>
        <v>0</v>
      </c>
      <c r="J55" s="154">
        <f t="shared" ref="J55" si="21">H55*0.05</f>
        <v>0</v>
      </c>
      <c r="K55" s="154">
        <f t="shared" ref="K55" si="22">SUM(H55:J55)</f>
        <v>0</v>
      </c>
      <c r="L55" s="111">
        <f>ROUND(H55*Inputs!$G$82+I55*Inputs!$G$84+J55*Inputs!$G$83,0)</f>
        <v>0</v>
      </c>
      <c r="M55" s="111">
        <f t="shared" ref="M55" si="23">D55*E55*G55</f>
        <v>0</v>
      </c>
    </row>
    <row r="56" spans="2:13" ht="22" x14ac:dyDescent="0.2">
      <c r="B56" s="236" t="s">
        <v>264</v>
      </c>
      <c r="C56" s="237">
        <v>4</v>
      </c>
      <c r="D56" s="238">
        <v>0</v>
      </c>
      <c r="E56" s="237">
        <v>1</v>
      </c>
      <c r="F56" s="239">
        <f t="shared" si="0"/>
        <v>4</v>
      </c>
      <c r="G56" s="239">
        <f>G40</f>
        <v>0</v>
      </c>
      <c r="H56" s="239">
        <f t="shared" si="1"/>
        <v>0</v>
      </c>
      <c r="I56" s="239">
        <f t="shared" si="2"/>
        <v>0</v>
      </c>
      <c r="J56" s="239">
        <f t="shared" si="3"/>
        <v>0</v>
      </c>
      <c r="K56" s="239">
        <f t="shared" si="4"/>
        <v>0</v>
      </c>
      <c r="L56" s="238">
        <f>ROUND(H56*Inputs!$G$82+I56*Inputs!$G$84+J56*Inputs!$G$83,0)</f>
        <v>0</v>
      </c>
      <c r="M56" s="238">
        <f t="shared" si="5"/>
        <v>0</v>
      </c>
    </row>
    <row r="57" spans="2:13" x14ac:dyDescent="0.2">
      <c r="B57" s="179" t="s">
        <v>158</v>
      </c>
      <c r="C57" s="21"/>
      <c r="D57" s="111"/>
      <c r="E57" s="21"/>
      <c r="F57" s="154"/>
      <c r="G57" s="272"/>
      <c r="H57" s="154"/>
      <c r="I57" s="154"/>
      <c r="J57" s="154"/>
      <c r="K57" s="154"/>
      <c r="L57" s="111"/>
      <c r="M57" s="111"/>
    </row>
    <row r="58" spans="2:13" x14ac:dyDescent="0.2">
      <c r="B58" s="178" t="s">
        <v>108</v>
      </c>
      <c r="C58" s="21">
        <v>5</v>
      </c>
      <c r="D58" s="111">
        <v>0</v>
      </c>
      <c r="E58" s="21">
        <v>2</v>
      </c>
      <c r="F58" s="154">
        <f t="shared" ref="F58:F67" si="24">C58*E58</f>
        <v>10</v>
      </c>
      <c r="G58" s="272">
        <f>G11</f>
        <v>0</v>
      </c>
      <c r="H58" s="154">
        <f t="shared" ref="H58:H67" si="25">G58*F58</f>
        <v>0</v>
      </c>
      <c r="I58" s="154">
        <f t="shared" ref="I58:I67" si="26">H58*0.1</f>
        <v>0</v>
      </c>
      <c r="J58" s="154">
        <f t="shared" ref="J58:J67" si="27">H58*0.05</f>
        <v>0</v>
      </c>
      <c r="K58" s="154">
        <f t="shared" ref="K58:K67" si="28">SUM(H58:J58)</f>
        <v>0</v>
      </c>
      <c r="L58" s="111">
        <f>ROUND(H58*Inputs!$G$82+I58*Inputs!$G$84+J58*Inputs!$G$83,0)</f>
        <v>0</v>
      </c>
      <c r="M58" s="111">
        <f t="shared" ref="M58:M67" si="29">D58*E58*G58</f>
        <v>0</v>
      </c>
    </row>
    <row r="59" spans="2:13" x14ac:dyDescent="0.2">
      <c r="B59" s="178" t="s">
        <v>109</v>
      </c>
      <c r="C59" s="21">
        <v>10</v>
      </c>
      <c r="D59" s="111">
        <v>0</v>
      </c>
      <c r="E59" s="21">
        <v>2</v>
      </c>
      <c r="F59" s="154">
        <f t="shared" si="24"/>
        <v>20</v>
      </c>
      <c r="G59" s="272">
        <f>G14</f>
        <v>0</v>
      </c>
      <c r="H59" s="154">
        <f t="shared" si="25"/>
        <v>0</v>
      </c>
      <c r="I59" s="154">
        <f t="shared" si="26"/>
        <v>0</v>
      </c>
      <c r="J59" s="154">
        <f t="shared" si="27"/>
        <v>0</v>
      </c>
      <c r="K59" s="154">
        <f t="shared" si="28"/>
        <v>0</v>
      </c>
      <c r="L59" s="111">
        <f>ROUND(H59*Inputs!$G$82+I59*Inputs!$G$84+J59*Inputs!$G$83,0)</f>
        <v>0</v>
      </c>
      <c r="M59" s="111">
        <f t="shared" si="29"/>
        <v>0</v>
      </c>
    </row>
    <row r="60" spans="2:13" x14ac:dyDescent="0.2">
      <c r="B60" s="178" t="s">
        <v>230</v>
      </c>
      <c r="C60" s="21">
        <v>4</v>
      </c>
      <c r="D60" s="111">
        <v>0</v>
      </c>
      <c r="E60" s="21">
        <v>2</v>
      </c>
      <c r="F60" s="154">
        <f t="shared" si="24"/>
        <v>8</v>
      </c>
      <c r="G60" s="272">
        <v>0</v>
      </c>
      <c r="H60" s="154">
        <f t="shared" si="25"/>
        <v>0</v>
      </c>
      <c r="I60" s="154">
        <f t="shared" si="26"/>
        <v>0</v>
      </c>
      <c r="J60" s="154">
        <f t="shared" si="27"/>
        <v>0</v>
      </c>
      <c r="K60" s="154">
        <f t="shared" si="28"/>
        <v>0</v>
      </c>
      <c r="L60" s="111">
        <f>ROUND(H60*Inputs!$G$82+I60*Inputs!$G$84+J60*Inputs!$G$83,0)</f>
        <v>0</v>
      </c>
      <c r="M60" s="111">
        <f t="shared" si="29"/>
        <v>0</v>
      </c>
    </row>
    <row r="61" spans="2:13" x14ac:dyDescent="0.2">
      <c r="B61" s="178" t="s">
        <v>241</v>
      </c>
      <c r="C61" s="21">
        <v>4</v>
      </c>
      <c r="D61" s="111">
        <v>0</v>
      </c>
      <c r="E61" s="21">
        <v>2</v>
      </c>
      <c r="F61" s="154">
        <f t="shared" ref="F61" si="30">C61*E61</f>
        <v>8</v>
      </c>
      <c r="G61" s="272">
        <v>0</v>
      </c>
      <c r="H61" s="154">
        <f t="shared" ref="H61" si="31">G61*F61</f>
        <v>0</v>
      </c>
      <c r="I61" s="154">
        <f t="shared" ref="I61" si="32">H61*0.1</f>
        <v>0</v>
      </c>
      <c r="J61" s="154">
        <f t="shared" ref="J61" si="33">H61*0.05</f>
        <v>0</v>
      </c>
      <c r="K61" s="154">
        <f t="shared" ref="K61" si="34">SUM(H61:J61)</f>
        <v>0</v>
      </c>
      <c r="L61" s="111">
        <f>ROUND(H61*Inputs!$G$82+I61*Inputs!$G$84+J61*Inputs!$G$83,0)</f>
        <v>0</v>
      </c>
      <c r="M61" s="111">
        <f t="shared" ref="M61" si="35">D61*E61*G61</f>
        <v>0</v>
      </c>
    </row>
    <row r="62" spans="2:13" ht="12" x14ac:dyDescent="0.2">
      <c r="B62" s="178" t="s">
        <v>265</v>
      </c>
      <c r="C62" s="21">
        <v>4</v>
      </c>
      <c r="D62" s="111">
        <v>0</v>
      </c>
      <c r="E62" s="21">
        <v>2</v>
      </c>
      <c r="F62" s="154">
        <f t="shared" si="24"/>
        <v>8</v>
      </c>
      <c r="G62" s="272">
        <v>0</v>
      </c>
      <c r="H62" s="154">
        <f t="shared" si="25"/>
        <v>0</v>
      </c>
      <c r="I62" s="154">
        <f t="shared" si="26"/>
        <v>0</v>
      </c>
      <c r="J62" s="154">
        <f t="shared" si="27"/>
        <v>0</v>
      </c>
      <c r="K62" s="154">
        <f t="shared" si="28"/>
        <v>0</v>
      </c>
      <c r="L62" s="111">
        <f>ROUND(H62*Inputs!$G$82+I62*Inputs!$G$84+J62*Inputs!$G$83,0)</f>
        <v>0</v>
      </c>
      <c r="M62" s="111">
        <f t="shared" si="29"/>
        <v>0</v>
      </c>
    </row>
    <row r="63" spans="2:13" x14ac:dyDescent="0.2">
      <c r="B63" s="178" t="s">
        <v>232</v>
      </c>
      <c r="C63" s="21">
        <v>3</v>
      </c>
      <c r="D63" s="111">
        <v>0</v>
      </c>
      <c r="E63" s="21">
        <v>2</v>
      </c>
      <c r="F63" s="154">
        <f t="shared" si="24"/>
        <v>6</v>
      </c>
      <c r="G63" s="272">
        <f>G17</f>
        <v>0</v>
      </c>
      <c r="H63" s="154">
        <f t="shared" si="25"/>
        <v>0</v>
      </c>
      <c r="I63" s="154">
        <f t="shared" si="26"/>
        <v>0</v>
      </c>
      <c r="J63" s="154">
        <f t="shared" si="27"/>
        <v>0</v>
      </c>
      <c r="K63" s="154">
        <f t="shared" si="28"/>
        <v>0</v>
      </c>
      <c r="L63" s="111">
        <f>ROUND(H63*Inputs!$G$82+I63*Inputs!$G$84+J63*Inputs!$G$83,0)</f>
        <v>0</v>
      </c>
      <c r="M63" s="111">
        <f t="shared" si="29"/>
        <v>0</v>
      </c>
    </row>
    <row r="64" spans="2:13" ht="20" x14ac:dyDescent="0.2">
      <c r="B64" s="236" t="s">
        <v>233</v>
      </c>
      <c r="C64" s="21">
        <v>3</v>
      </c>
      <c r="D64" s="111">
        <v>0</v>
      </c>
      <c r="E64" s="21">
        <v>2</v>
      </c>
      <c r="F64" s="154">
        <f t="shared" ref="F64:F66" si="36">C64*E64</f>
        <v>6</v>
      </c>
      <c r="G64" s="272">
        <v>0</v>
      </c>
      <c r="H64" s="154">
        <f t="shared" ref="H64:H66" si="37">G64*F64</f>
        <v>0</v>
      </c>
      <c r="I64" s="154">
        <f t="shared" ref="I64:I66" si="38">H64*0.1</f>
        <v>0</v>
      </c>
      <c r="J64" s="154">
        <f t="shared" ref="J64:J66" si="39">H64*0.05</f>
        <v>0</v>
      </c>
      <c r="K64" s="154">
        <f t="shared" ref="K64:K66" si="40">SUM(H64:J64)</f>
        <v>0</v>
      </c>
      <c r="L64" s="111">
        <f>ROUND(H64*Inputs!$G$82+I64*Inputs!$G$84+J64*Inputs!$G$83,0)</f>
        <v>0</v>
      </c>
      <c r="M64" s="111">
        <f t="shared" ref="M64:M66" si="41">D64*E64*G64</f>
        <v>0</v>
      </c>
    </row>
    <row r="65" spans="2:13" ht="12" x14ac:dyDescent="0.2">
      <c r="B65" s="236" t="s">
        <v>266</v>
      </c>
      <c r="C65" s="21">
        <v>3</v>
      </c>
      <c r="D65" s="111">
        <v>0</v>
      </c>
      <c r="E65" s="21">
        <v>2</v>
      </c>
      <c r="F65" s="154">
        <f t="shared" si="36"/>
        <v>6</v>
      </c>
      <c r="G65" s="272">
        <f>G19</f>
        <v>0</v>
      </c>
      <c r="H65" s="154">
        <f t="shared" si="37"/>
        <v>0</v>
      </c>
      <c r="I65" s="154">
        <f t="shared" si="38"/>
        <v>0</v>
      </c>
      <c r="J65" s="154">
        <f t="shared" si="39"/>
        <v>0</v>
      </c>
      <c r="K65" s="154">
        <f t="shared" si="40"/>
        <v>0</v>
      </c>
      <c r="L65" s="111">
        <f>ROUND(H65*Inputs!$G$82+I65*Inputs!$G$84+J65*Inputs!$G$83,0)</f>
        <v>0</v>
      </c>
      <c r="M65" s="111">
        <f t="shared" si="41"/>
        <v>0</v>
      </c>
    </row>
    <row r="66" spans="2:13" x14ac:dyDescent="0.2">
      <c r="B66" s="236" t="s">
        <v>235</v>
      </c>
      <c r="C66" s="21">
        <v>4</v>
      </c>
      <c r="D66" s="111">
        <v>0</v>
      </c>
      <c r="E66" s="21">
        <v>2</v>
      </c>
      <c r="F66" s="154">
        <f t="shared" si="36"/>
        <v>8</v>
      </c>
      <c r="G66" s="272">
        <f>G20</f>
        <v>0</v>
      </c>
      <c r="H66" s="154">
        <f t="shared" si="37"/>
        <v>0</v>
      </c>
      <c r="I66" s="154">
        <f t="shared" si="38"/>
        <v>0</v>
      </c>
      <c r="J66" s="154">
        <f t="shared" si="39"/>
        <v>0</v>
      </c>
      <c r="K66" s="154">
        <f t="shared" si="40"/>
        <v>0</v>
      </c>
      <c r="L66" s="111">
        <f>ROUND(H66*Inputs!$G$82+I66*Inputs!$G$84+J66*Inputs!$G$83,0)</f>
        <v>0</v>
      </c>
      <c r="M66" s="111">
        <f t="shared" si="41"/>
        <v>0</v>
      </c>
    </row>
    <row r="67" spans="2:13" ht="21" customHeight="1" x14ac:dyDescent="0.2">
      <c r="B67" s="236" t="s">
        <v>267</v>
      </c>
      <c r="C67" s="237">
        <v>4</v>
      </c>
      <c r="D67" s="238">
        <v>0</v>
      </c>
      <c r="E67" s="237">
        <v>2</v>
      </c>
      <c r="F67" s="239">
        <f t="shared" si="24"/>
        <v>8</v>
      </c>
      <c r="G67" s="239">
        <f>G41</f>
        <v>0</v>
      </c>
      <c r="H67" s="239">
        <f t="shared" si="25"/>
        <v>0</v>
      </c>
      <c r="I67" s="239">
        <f t="shared" si="26"/>
        <v>0</v>
      </c>
      <c r="J67" s="239">
        <f t="shared" si="27"/>
        <v>0</v>
      </c>
      <c r="K67" s="239">
        <f t="shared" si="28"/>
        <v>0</v>
      </c>
      <c r="L67" s="238">
        <f>ROUND(H67*Inputs!$G$82+I67*Inputs!$G$84+J67*Inputs!$G$83,0)</f>
        <v>0</v>
      </c>
      <c r="M67" s="238">
        <f t="shared" si="29"/>
        <v>0</v>
      </c>
    </row>
    <row r="68" spans="2:13" ht="22" x14ac:dyDescent="0.2">
      <c r="B68" s="236" t="s">
        <v>268</v>
      </c>
      <c r="C68" s="21">
        <v>4</v>
      </c>
      <c r="D68" s="111">
        <v>0</v>
      </c>
      <c r="E68" s="21">
        <v>2</v>
      </c>
      <c r="F68" s="154">
        <f t="shared" ref="F68" si="42">C68*E68</f>
        <v>8</v>
      </c>
      <c r="G68" s="154">
        <v>0</v>
      </c>
      <c r="H68" s="154">
        <f t="shared" ref="H68" si="43">G68*F68</f>
        <v>0</v>
      </c>
      <c r="I68" s="154">
        <f t="shared" ref="I68" si="44">H68*0.1</f>
        <v>0</v>
      </c>
      <c r="J68" s="154">
        <f t="shared" ref="J68" si="45">H68*0.05</f>
        <v>0</v>
      </c>
      <c r="K68" s="154">
        <f t="shared" ref="K68" si="46">SUM(H68:J68)</f>
        <v>0</v>
      </c>
      <c r="L68" s="111">
        <f>ROUND(H68*Inputs!$G$82+I68*Inputs!$G$84+J68*Inputs!$G$83,0)</f>
        <v>0</v>
      </c>
      <c r="M68" s="111">
        <f t="shared" ref="M68" si="47">D68*E68*G68</f>
        <v>0</v>
      </c>
    </row>
    <row r="69" spans="2:13" ht="12" x14ac:dyDescent="0.2">
      <c r="B69" s="179" t="s">
        <v>269</v>
      </c>
      <c r="C69" s="21"/>
      <c r="D69" s="111"/>
      <c r="E69" s="21"/>
      <c r="F69" s="154"/>
      <c r="G69" s="272"/>
      <c r="H69" s="154"/>
      <c r="I69" s="154"/>
      <c r="J69" s="154"/>
      <c r="K69" s="154"/>
      <c r="L69" s="111"/>
      <c r="M69" s="111"/>
    </row>
    <row r="70" spans="2:13" x14ac:dyDescent="0.2">
      <c r="B70" s="236" t="s">
        <v>198</v>
      </c>
      <c r="C70" s="21">
        <v>10</v>
      </c>
      <c r="D70" s="111">
        <v>0</v>
      </c>
      <c r="E70" s="21">
        <v>1</v>
      </c>
      <c r="F70" s="154">
        <f t="shared" ref="F70:F72" si="48">C70*E70</f>
        <v>10</v>
      </c>
      <c r="G70" s="272">
        <v>0</v>
      </c>
      <c r="H70" s="154">
        <f t="shared" ref="H70:H72" si="49">G70*F70</f>
        <v>0</v>
      </c>
      <c r="I70" s="154">
        <f t="shared" ref="I70:I72" si="50">H70*0.1</f>
        <v>0</v>
      </c>
      <c r="J70" s="154">
        <f t="shared" ref="J70:J72" si="51">H70*0.05</f>
        <v>0</v>
      </c>
      <c r="K70" s="154">
        <f t="shared" ref="K70:K72" si="52">SUM(H70:J70)</f>
        <v>0</v>
      </c>
      <c r="L70" s="111">
        <f>ROUND(H70*Inputs!$G$82+I70*Inputs!$G$84+J70*Inputs!$G$83,0)</f>
        <v>0</v>
      </c>
      <c r="M70" s="111">
        <f t="shared" ref="M70:M72" si="53">D70*E70*G70</f>
        <v>0</v>
      </c>
    </row>
    <row r="71" spans="2:13" x14ac:dyDescent="0.2">
      <c r="B71" s="236" t="s">
        <v>199</v>
      </c>
      <c r="C71" s="21">
        <v>10</v>
      </c>
      <c r="D71" s="111">
        <v>0</v>
      </c>
      <c r="E71" s="21">
        <v>1</v>
      </c>
      <c r="F71" s="154">
        <f t="shared" si="48"/>
        <v>10</v>
      </c>
      <c r="G71" s="154">
        <v>0</v>
      </c>
      <c r="H71" s="154">
        <f t="shared" si="49"/>
        <v>0</v>
      </c>
      <c r="I71" s="154">
        <f t="shared" si="50"/>
        <v>0</v>
      </c>
      <c r="J71" s="154">
        <f t="shared" si="51"/>
        <v>0</v>
      </c>
      <c r="K71" s="154">
        <f t="shared" si="52"/>
        <v>0</v>
      </c>
      <c r="L71" s="111">
        <f>ROUND(H71*Inputs!$G$82+I71*Inputs!$G$84+J71*Inputs!$G$83,0)</f>
        <v>0</v>
      </c>
      <c r="M71" s="111">
        <f t="shared" si="53"/>
        <v>0</v>
      </c>
    </row>
    <row r="72" spans="2:13" x14ac:dyDescent="0.2">
      <c r="B72" s="236" t="s">
        <v>200</v>
      </c>
      <c r="C72" s="21">
        <v>4</v>
      </c>
      <c r="D72" s="111">
        <v>0</v>
      </c>
      <c r="E72" s="21">
        <v>4</v>
      </c>
      <c r="F72" s="154">
        <f t="shared" si="48"/>
        <v>16</v>
      </c>
      <c r="G72" s="272">
        <v>0</v>
      </c>
      <c r="H72" s="154">
        <f t="shared" si="49"/>
        <v>0</v>
      </c>
      <c r="I72" s="154">
        <f t="shared" si="50"/>
        <v>0</v>
      </c>
      <c r="J72" s="154">
        <f t="shared" si="51"/>
        <v>0</v>
      </c>
      <c r="K72" s="154">
        <f t="shared" si="52"/>
        <v>0</v>
      </c>
      <c r="L72" s="111">
        <f>ROUND(H72*Inputs!$G$82+I72*Inputs!$G$84+J72*Inputs!$G$83,0)</f>
        <v>0</v>
      </c>
      <c r="M72" s="111">
        <f t="shared" si="53"/>
        <v>0</v>
      </c>
    </row>
    <row r="73" spans="2:13" x14ac:dyDescent="0.2">
      <c r="B73" s="180" t="s">
        <v>67</v>
      </c>
      <c r="C73" s="21"/>
      <c r="D73" s="111"/>
      <c r="E73" s="21"/>
      <c r="F73" s="21"/>
      <c r="G73" s="21"/>
      <c r="H73" s="221">
        <f>SUM(H7:H72)</f>
        <v>456</v>
      </c>
      <c r="I73" s="221">
        <f>SUM(I7:I72)</f>
        <v>45.6</v>
      </c>
      <c r="J73" s="221">
        <f>SUM(J7:J72)</f>
        <v>22.8</v>
      </c>
      <c r="K73" s="221">
        <f>SUM(K7:K72)</f>
        <v>524.4</v>
      </c>
      <c r="L73" s="222">
        <f>SUM(L7:L72)</f>
        <v>51904</v>
      </c>
      <c r="M73" s="222">
        <f>SUM(M7:M72)-M10-M13-M16-M40-M43-M19-M22-M25-M28-M31-M34-M37</f>
        <v>0</v>
      </c>
    </row>
    <row r="74" spans="2:13" x14ac:dyDescent="0.2">
      <c r="B74" s="175" t="s">
        <v>53</v>
      </c>
      <c r="C74" s="21"/>
      <c r="D74" s="111"/>
      <c r="E74" s="21"/>
      <c r="F74" s="21"/>
      <c r="G74" s="21"/>
      <c r="H74" s="21"/>
      <c r="I74" s="22"/>
      <c r="J74" s="22"/>
      <c r="K74" s="22"/>
      <c r="L74" s="111"/>
      <c r="M74" s="111"/>
    </row>
    <row r="75" spans="2:13" x14ac:dyDescent="0.2">
      <c r="B75" s="176" t="s">
        <v>54</v>
      </c>
      <c r="C75" s="21" t="s">
        <v>95</v>
      </c>
      <c r="D75" s="111"/>
      <c r="E75" s="21"/>
      <c r="F75" s="21"/>
      <c r="G75" s="21"/>
      <c r="H75" s="21"/>
      <c r="I75" s="22"/>
      <c r="J75" s="22"/>
      <c r="K75" s="22"/>
      <c r="L75" s="111"/>
      <c r="M75" s="111"/>
    </row>
    <row r="76" spans="2:13" x14ac:dyDescent="0.2">
      <c r="B76" s="176" t="s">
        <v>91</v>
      </c>
      <c r="C76" s="153" t="s">
        <v>58</v>
      </c>
      <c r="D76" s="111"/>
      <c r="E76" s="21"/>
      <c r="F76" s="21"/>
      <c r="G76" s="21"/>
      <c r="H76" s="21"/>
      <c r="I76" s="22"/>
      <c r="J76" s="22"/>
      <c r="K76" s="22"/>
      <c r="L76" s="111"/>
      <c r="M76" s="111"/>
    </row>
    <row r="77" spans="2:13" x14ac:dyDescent="0.2">
      <c r="B77" s="176" t="s">
        <v>55</v>
      </c>
      <c r="C77" s="153" t="s">
        <v>58</v>
      </c>
      <c r="D77" s="111"/>
      <c r="E77" s="21"/>
      <c r="F77" s="21"/>
      <c r="G77" s="21"/>
      <c r="H77" s="21"/>
      <c r="I77" s="22"/>
      <c r="J77" s="22"/>
      <c r="K77" s="22"/>
      <c r="L77" s="111"/>
      <c r="M77" s="111"/>
    </row>
    <row r="78" spans="2:13" x14ac:dyDescent="0.2">
      <c r="B78" s="176" t="s">
        <v>68</v>
      </c>
      <c r="C78" s="21"/>
      <c r="D78" s="111"/>
      <c r="E78" s="21"/>
      <c r="F78" s="21"/>
      <c r="G78" s="21"/>
      <c r="H78" s="21"/>
      <c r="I78" s="22"/>
      <c r="J78" s="22"/>
      <c r="K78" s="22"/>
      <c r="L78" s="111"/>
      <c r="M78" s="111"/>
    </row>
    <row r="79" spans="2:13" x14ac:dyDescent="0.2">
      <c r="B79" s="179" t="s">
        <v>237</v>
      </c>
      <c r="C79" s="21">
        <v>0.4</v>
      </c>
      <c r="D79" s="111">
        <v>0</v>
      </c>
      <c r="E79" s="21">
        <v>365</v>
      </c>
      <c r="F79" s="21">
        <f t="shared" ref="F79" si="54">C79*E79</f>
        <v>146</v>
      </c>
      <c r="G79" s="273">
        <v>0</v>
      </c>
      <c r="H79" s="154">
        <f t="shared" ref="H79" si="55">G79*F79</f>
        <v>0</v>
      </c>
      <c r="I79" s="154">
        <f t="shared" ref="I79" si="56">H79*0.1</f>
        <v>0</v>
      </c>
      <c r="J79" s="154">
        <f t="shared" ref="J79" si="57">H79*0.05</f>
        <v>0</v>
      </c>
      <c r="K79" s="156">
        <f t="shared" ref="K79" si="58">SUM(H79:J79)</f>
        <v>0</v>
      </c>
      <c r="L79" s="111">
        <f>ROUND(H79*Inputs!$G$82+I79*Inputs!$G$84+J79*Inputs!$G$83,0)</f>
        <v>0</v>
      </c>
      <c r="M79" s="111">
        <f t="shared" ref="M79" si="59">D79*E79*G79</f>
        <v>0</v>
      </c>
    </row>
    <row r="80" spans="2:13" x14ac:dyDescent="0.2">
      <c r="B80" s="179" t="s">
        <v>238</v>
      </c>
      <c r="C80" s="21">
        <v>10</v>
      </c>
      <c r="D80" s="111">
        <v>0</v>
      </c>
      <c r="E80" s="21">
        <v>1</v>
      </c>
      <c r="F80" s="21">
        <f t="shared" ref="F80:F81" si="60">C80*E80</f>
        <v>10</v>
      </c>
      <c r="G80" s="273">
        <f>G14</f>
        <v>0</v>
      </c>
      <c r="H80" s="154">
        <f t="shared" ref="H80:H95" si="61">G80*F80</f>
        <v>0</v>
      </c>
      <c r="I80" s="154">
        <f t="shared" ref="I80:I95" si="62">H80*0.1</f>
        <v>0</v>
      </c>
      <c r="J80" s="154">
        <f t="shared" ref="J80:J95" si="63">H80*0.05</f>
        <v>0</v>
      </c>
      <c r="K80" s="156">
        <f t="shared" ref="K80:K95" si="64">SUM(H80:J80)</f>
        <v>0</v>
      </c>
      <c r="L80" s="111">
        <f>ROUND(H80*Inputs!$G$82+I80*Inputs!$G$84+J80*Inputs!$G$83,0)</f>
        <v>0</v>
      </c>
      <c r="M80" s="111">
        <f t="shared" ref="M80:M95" si="65">D80*E80*G80</f>
        <v>0</v>
      </c>
    </row>
    <row r="81" spans="2:13" ht="12" x14ac:dyDescent="0.2">
      <c r="B81" s="179" t="s">
        <v>270</v>
      </c>
      <c r="C81" s="21">
        <v>0</v>
      </c>
      <c r="D81" s="111">
        <v>0</v>
      </c>
      <c r="E81" s="21">
        <v>1</v>
      </c>
      <c r="F81" s="21">
        <f t="shared" si="60"/>
        <v>0</v>
      </c>
      <c r="G81" s="273">
        <f>G17</f>
        <v>0</v>
      </c>
      <c r="H81" s="154">
        <f t="shared" si="61"/>
        <v>0</v>
      </c>
      <c r="I81" s="154">
        <f t="shared" si="62"/>
        <v>0</v>
      </c>
      <c r="J81" s="154">
        <f t="shared" si="63"/>
        <v>0</v>
      </c>
      <c r="K81" s="156">
        <f t="shared" si="64"/>
        <v>0</v>
      </c>
      <c r="L81" s="111">
        <f>ROUND(H81*Inputs!$G$82+I81*Inputs!$G$84+J81*Inputs!$G$83,0)</f>
        <v>0</v>
      </c>
      <c r="M81" s="111">
        <f t="shared" si="65"/>
        <v>0</v>
      </c>
    </row>
    <row r="82" spans="2:13" x14ac:dyDescent="0.2">
      <c r="B82" s="179" t="s">
        <v>239</v>
      </c>
      <c r="C82" s="21">
        <v>1</v>
      </c>
      <c r="D82" s="111">
        <v>0</v>
      </c>
      <c r="E82" s="21">
        <v>1</v>
      </c>
      <c r="F82" s="21">
        <f>C82*E82</f>
        <v>1</v>
      </c>
      <c r="G82" s="273">
        <f>G60</f>
        <v>0</v>
      </c>
      <c r="H82" s="154">
        <f t="shared" si="61"/>
        <v>0</v>
      </c>
      <c r="I82" s="154">
        <f t="shared" si="62"/>
        <v>0</v>
      </c>
      <c r="J82" s="154">
        <f t="shared" si="63"/>
        <v>0</v>
      </c>
      <c r="K82" s="156">
        <f t="shared" si="64"/>
        <v>0</v>
      </c>
      <c r="L82" s="111">
        <f>ROUND(H82*Inputs!$G$82+I82*Inputs!$G$84+J82*Inputs!$G$83,0)</f>
        <v>0</v>
      </c>
      <c r="M82" s="111">
        <f t="shared" si="65"/>
        <v>0</v>
      </c>
    </row>
    <row r="83" spans="2:13" x14ac:dyDescent="0.2">
      <c r="B83" s="179" t="s">
        <v>243</v>
      </c>
      <c r="C83" s="21">
        <v>1</v>
      </c>
      <c r="D83" s="111">
        <v>0</v>
      </c>
      <c r="E83" s="21">
        <v>1</v>
      </c>
      <c r="F83" s="21">
        <f>C83*E83</f>
        <v>1</v>
      </c>
      <c r="G83" s="273">
        <f>G61</f>
        <v>0</v>
      </c>
      <c r="H83" s="154">
        <f t="shared" ref="H83" si="66">G83*F83</f>
        <v>0</v>
      </c>
      <c r="I83" s="154">
        <f t="shared" ref="I83" si="67">H83*0.1</f>
        <v>0</v>
      </c>
      <c r="J83" s="154">
        <f t="shared" ref="J83" si="68">H83*0.05</f>
        <v>0</v>
      </c>
      <c r="K83" s="156">
        <f t="shared" ref="K83" si="69">SUM(H83:J83)</f>
        <v>0</v>
      </c>
      <c r="L83" s="111">
        <f>ROUND(H83*Inputs!$G$82+I83*Inputs!$G$84+J83*Inputs!$G$83,0)</f>
        <v>0</v>
      </c>
      <c r="M83" s="111">
        <f t="shared" ref="M83" si="70">D83*E83*G83</f>
        <v>0</v>
      </c>
    </row>
    <row r="84" spans="2:13" ht="12" x14ac:dyDescent="0.2">
      <c r="B84" s="179" t="s">
        <v>271</v>
      </c>
      <c r="C84" s="21">
        <v>0</v>
      </c>
      <c r="D84" s="111">
        <v>0</v>
      </c>
      <c r="E84" s="21">
        <v>1</v>
      </c>
      <c r="F84" s="21">
        <f t="shared" ref="F84:F95" si="71">C84*E84</f>
        <v>0</v>
      </c>
      <c r="G84" s="273">
        <f>G62</f>
        <v>0</v>
      </c>
      <c r="H84" s="154">
        <f t="shared" si="61"/>
        <v>0</v>
      </c>
      <c r="I84" s="154">
        <f t="shared" si="62"/>
        <v>0</v>
      </c>
      <c r="J84" s="154">
        <f t="shared" si="63"/>
        <v>0</v>
      </c>
      <c r="K84" s="156">
        <f t="shared" si="64"/>
        <v>0</v>
      </c>
      <c r="L84" s="111">
        <f>ROUND(H84*Inputs!$G$82+I84*Inputs!$G$84+J84*Inputs!$G$83,0)</f>
        <v>0</v>
      </c>
      <c r="M84" s="111">
        <f t="shared" si="65"/>
        <v>0</v>
      </c>
    </row>
    <row r="85" spans="2:13" ht="12" x14ac:dyDescent="0.2">
      <c r="B85" s="177" t="s">
        <v>275</v>
      </c>
      <c r="C85" s="237">
        <v>2</v>
      </c>
      <c r="D85" s="238">
        <v>0</v>
      </c>
      <c r="E85" s="237">
        <v>1</v>
      </c>
      <c r="F85" s="237">
        <f t="shared" si="71"/>
        <v>2</v>
      </c>
      <c r="G85" s="240">
        <f>G67</f>
        <v>0</v>
      </c>
      <c r="H85" s="239">
        <f t="shared" si="61"/>
        <v>0</v>
      </c>
      <c r="I85" s="239">
        <f t="shared" si="62"/>
        <v>0</v>
      </c>
      <c r="J85" s="239">
        <f t="shared" si="63"/>
        <v>0</v>
      </c>
      <c r="K85" s="156">
        <f t="shared" si="64"/>
        <v>0</v>
      </c>
      <c r="L85" s="238">
        <f>ROUND(H85*Inputs!$G$82+I85*Inputs!$G$84+J85*Inputs!$G$83,0)</f>
        <v>0</v>
      </c>
      <c r="M85" s="238">
        <f t="shared" si="65"/>
        <v>0</v>
      </c>
    </row>
    <row r="86" spans="2:13" x14ac:dyDescent="0.2">
      <c r="B86" s="179" t="s">
        <v>201</v>
      </c>
      <c r="C86" s="21">
        <v>75</v>
      </c>
      <c r="D86" s="111">
        <v>0</v>
      </c>
      <c r="E86" s="21">
        <v>1</v>
      </c>
      <c r="F86" s="21">
        <f t="shared" si="71"/>
        <v>75</v>
      </c>
      <c r="G86" s="273">
        <v>0</v>
      </c>
      <c r="H86" s="154">
        <f t="shared" si="61"/>
        <v>0</v>
      </c>
      <c r="I86" s="154">
        <f t="shared" si="62"/>
        <v>0</v>
      </c>
      <c r="J86" s="154">
        <f t="shared" si="63"/>
        <v>0</v>
      </c>
      <c r="K86" s="156">
        <f t="shared" si="64"/>
        <v>0</v>
      </c>
      <c r="L86" s="111">
        <f>ROUND(H86*Inputs!$G$82+I86*Inputs!$G$84+J86*Inputs!$G$83,0)</f>
        <v>0</v>
      </c>
      <c r="M86" s="111">
        <f t="shared" si="65"/>
        <v>0</v>
      </c>
    </row>
    <row r="87" spans="2:13" x14ac:dyDescent="0.2">
      <c r="B87" s="179" t="s">
        <v>202</v>
      </c>
      <c r="C87" s="21">
        <v>3</v>
      </c>
      <c r="D87" s="111">
        <v>0</v>
      </c>
      <c r="E87" s="21">
        <v>1</v>
      </c>
      <c r="F87" s="154">
        <f t="shared" si="71"/>
        <v>3</v>
      </c>
      <c r="G87" s="273">
        <v>0</v>
      </c>
      <c r="H87" s="154">
        <f t="shared" si="61"/>
        <v>0</v>
      </c>
      <c r="I87" s="154">
        <f t="shared" si="62"/>
        <v>0</v>
      </c>
      <c r="J87" s="154">
        <f t="shared" si="63"/>
        <v>0</v>
      </c>
      <c r="K87" s="154">
        <f t="shared" si="64"/>
        <v>0</v>
      </c>
      <c r="L87" s="111">
        <f>ROUND(H87*Inputs!$G$82+I87*Inputs!$G$84+J87*Inputs!$G$83,0)</f>
        <v>0</v>
      </c>
      <c r="M87" s="111">
        <f t="shared" si="65"/>
        <v>0</v>
      </c>
    </row>
    <row r="88" spans="2:13" ht="22" x14ac:dyDescent="0.2">
      <c r="B88" s="177" t="s">
        <v>272</v>
      </c>
      <c r="C88" s="21">
        <v>1</v>
      </c>
      <c r="D88" s="111">
        <v>0</v>
      </c>
      <c r="E88" s="21">
        <v>1</v>
      </c>
      <c r="F88" s="154">
        <f t="shared" si="71"/>
        <v>1</v>
      </c>
      <c r="G88" s="273">
        <v>0</v>
      </c>
      <c r="H88" s="154">
        <f t="shared" ref="H88" si="72">G88*F88</f>
        <v>0</v>
      </c>
      <c r="I88" s="154">
        <f t="shared" ref="I88" si="73">H88*0.1</f>
        <v>0</v>
      </c>
      <c r="J88" s="154">
        <f t="shared" ref="J88" si="74">H88*0.05</f>
        <v>0</v>
      </c>
      <c r="K88" s="154">
        <f t="shared" ref="K88" si="75">SUM(H88:J88)</f>
        <v>0</v>
      </c>
      <c r="L88" s="111">
        <f>ROUND(H88*Inputs!$G$82+I88*Inputs!$G$84+J88*Inputs!$G$83,0)</f>
        <v>0</v>
      </c>
      <c r="M88" s="111">
        <f t="shared" ref="M88" si="76">D88*E88*G88</f>
        <v>0</v>
      </c>
    </row>
    <row r="89" spans="2:13" ht="22" x14ac:dyDescent="0.2">
      <c r="B89" s="177" t="s">
        <v>273</v>
      </c>
      <c r="C89" s="21">
        <v>1</v>
      </c>
      <c r="D89" s="111">
        <v>0</v>
      </c>
      <c r="E89" s="21">
        <v>1</v>
      </c>
      <c r="F89" s="154">
        <f t="shared" ref="F89" si="77">C89*E89</f>
        <v>1</v>
      </c>
      <c r="G89" s="273">
        <v>0</v>
      </c>
      <c r="H89" s="154">
        <f t="shared" ref="H89" si="78">G89*F89</f>
        <v>0</v>
      </c>
      <c r="I89" s="154">
        <f t="shared" ref="I89" si="79">H89*0.1</f>
        <v>0</v>
      </c>
      <c r="J89" s="154">
        <f t="shared" ref="J89" si="80">H89*0.05</f>
        <v>0</v>
      </c>
      <c r="K89" s="154">
        <f t="shared" ref="K89" si="81">SUM(H89:J89)</f>
        <v>0</v>
      </c>
      <c r="L89" s="111">
        <f>ROUND(H89*Inputs!$G$82+I89*Inputs!$G$84+J89*Inputs!$G$83,0)</f>
        <v>0</v>
      </c>
      <c r="M89" s="111">
        <f t="shared" ref="M89" si="82">D89*E89*G89</f>
        <v>0</v>
      </c>
    </row>
    <row r="90" spans="2:13" ht="22" x14ac:dyDescent="0.2">
      <c r="B90" s="177" t="s">
        <v>274</v>
      </c>
      <c r="C90" s="21">
        <v>1</v>
      </c>
      <c r="D90" s="111">
        <v>0</v>
      </c>
      <c r="E90" s="21">
        <v>1</v>
      </c>
      <c r="F90" s="154">
        <f t="shared" ref="F90" si="83">C90*E90</f>
        <v>1</v>
      </c>
      <c r="G90" s="273">
        <v>0</v>
      </c>
      <c r="H90" s="154">
        <f t="shared" ref="H90" si="84">G90*F90</f>
        <v>0</v>
      </c>
      <c r="I90" s="154">
        <f t="shared" ref="I90" si="85">H90*0.1</f>
        <v>0</v>
      </c>
      <c r="J90" s="154">
        <f t="shared" ref="J90" si="86">H90*0.05</f>
        <v>0</v>
      </c>
      <c r="K90" s="154">
        <f t="shared" ref="K90" si="87">SUM(H90:J90)</f>
        <v>0</v>
      </c>
      <c r="L90" s="111">
        <f>ROUND(H90*Inputs!$G$82+I90*Inputs!$G$84+J90*Inputs!$G$83,0)</f>
        <v>0</v>
      </c>
      <c r="M90" s="111">
        <f t="shared" ref="M90" si="88">D90*E90*G90</f>
        <v>0</v>
      </c>
    </row>
    <row r="91" spans="2:13" x14ac:dyDescent="0.2">
      <c r="B91" s="179" t="s">
        <v>240</v>
      </c>
      <c r="C91" s="21">
        <v>2</v>
      </c>
      <c r="D91" s="111">
        <v>0</v>
      </c>
      <c r="E91" s="21">
        <v>1</v>
      </c>
      <c r="F91" s="154">
        <f t="shared" ref="F91:F93" si="89">C91*E91</f>
        <v>2</v>
      </c>
      <c r="G91" s="273">
        <v>0</v>
      </c>
      <c r="H91" s="154">
        <f t="shared" ref="H91:H93" si="90">G91*F91</f>
        <v>0</v>
      </c>
      <c r="I91" s="154">
        <f t="shared" ref="I91:I93" si="91">H91*0.1</f>
        <v>0</v>
      </c>
      <c r="J91" s="154">
        <f t="shared" ref="J91:J93" si="92">H91*0.05</f>
        <v>0</v>
      </c>
      <c r="K91" s="154">
        <f t="shared" ref="K91:K93" si="93">SUM(H91:J91)</f>
        <v>0</v>
      </c>
      <c r="L91" s="111">
        <f>ROUND(H91*Inputs!$G$82+I91*Inputs!$G$84+J91*Inputs!$G$83,0)</f>
        <v>0</v>
      </c>
      <c r="M91" s="111">
        <f t="shared" ref="M91:M93" si="94">D91*E91*G91</f>
        <v>0</v>
      </c>
    </row>
    <row r="92" spans="2:13" ht="21.65" customHeight="1" x14ac:dyDescent="0.2">
      <c r="B92" s="177" t="s">
        <v>276</v>
      </c>
      <c r="C92" s="21">
        <v>10</v>
      </c>
      <c r="D92" s="111">
        <v>0</v>
      </c>
      <c r="E92" s="21">
        <v>1</v>
      </c>
      <c r="F92" s="21">
        <f t="shared" ref="F92" si="95">C92*E92</f>
        <v>10</v>
      </c>
      <c r="G92" s="22">
        <v>0</v>
      </c>
      <c r="H92" s="154">
        <f t="shared" ref="H92" si="96">G92*F92</f>
        <v>0</v>
      </c>
      <c r="I92" s="154">
        <f t="shared" ref="I92" si="97">H92*0.1</f>
        <v>0</v>
      </c>
      <c r="J92" s="154">
        <f t="shared" ref="J92" si="98">H92*0.05</f>
        <v>0</v>
      </c>
      <c r="K92" s="156">
        <f t="shared" ref="K92" si="99">SUM(H92:J92)</f>
        <v>0</v>
      </c>
      <c r="L92" s="111">
        <f>ROUND(H92*Inputs!$G$82+I92*Inputs!$G$84+J92*Inputs!$G$83,0)</f>
        <v>0</v>
      </c>
      <c r="M92" s="111">
        <f t="shared" ref="M92" si="100">D92*E92*G92</f>
        <v>0</v>
      </c>
    </row>
    <row r="93" spans="2:13" ht="22" x14ac:dyDescent="0.2">
      <c r="B93" s="177" t="s">
        <v>277</v>
      </c>
      <c r="C93" s="21">
        <v>0.4</v>
      </c>
      <c r="D93" s="111">
        <v>0</v>
      </c>
      <c r="E93" s="21">
        <v>365</v>
      </c>
      <c r="F93" s="21">
        <f t="shared" si="89"/>
        <v>146</v>
      </c>
      <c r="G93" s="273">
        <v>0</v>
      </c>
      <c r="H93" s="154">
        <f t="shared" si="90"/>
        <v>0</v>
      </c>
      <c r="I93" s="154">
        <f t="shared" si="91"/>
        <v>0</v>
      </c>
      <c r="J93" s="154">
        <f t="shared" si="92"/>
        <v>0</v>
      </c>
      <c r="K93" s="156">
        <f t="shared" si="93"/>
        <v>0</v>
      </c>
      <c r="L93" s="111">
        <f>ROUND(H93*Inputs!$G$82+I93*Inputs!$G$84+J93*Inputs!$G$83,0)</f>
        <v>0</v>
      </c>
      <c r="M93" s="111">
        <f t="shared" si="94"/>
        <v>0</v>
      </c>
    </row>
    <row r="94" spans="2:13" ht="12" x14ac:dyDescent="0.2">
      <c r="B94" s="179" t="s">
        <v>278</v>
      </c>
      <c r="C94" s="21">
        <v>1</v>
      </c>
      <c r="D94" s="111">
        <v>0</v>
      </c>
      <c r="E94" s="21">
        <v>365</v>
      </c>
      <c r="F94" s="21">
        <f t="shared" ref="F94" si="101">C94*E94</f>
        <v>365</v>
      </c>
      <c r="G94" s="273">
        <f>G25</f>
        <v>0</v>
      </c>
      <c r="H94" s="154">
        <f t="shared" ref="H94" si="102">G94*F94</f>
        <v>0</v>
      </c>
      <c r="I94" s="154">
        <f t="shared" ref="I94" si="103">H94*0.1</f>
        <v>0</v>
      </c>
      <c r="J94" s="154">
        <f t="shared" ref="J94" si="104">H94*0.05</f>
        <v>0</v>
      </c>
      <c r="K94" s="156">
        <f t="shared" ref="K94" si="105">SUM(H94:J94)</f>
        <v>0</v>
      </c>
      <c r="L94" s="111">
        <f>ROUND(H94*Inputs!$G$82+I94*Inputs!$G$84+J94*Inputs!$G$83,0)</f>
        <v>0</v>
      </c>
      <c r="M94" s="111">
        <f t="shared" ref="M94" si="106">D94*E94*G94</f>
        <v>0</v>
      </c>
    </row>
    <row r="95" spans="2:13" ht="12" x14ac:dyDescent="0.2">
      <c r="B95" s="176" t="s">
        <v>279</v>
      </c>
      <c r="C95" s="21">
        <v>16</v>
      </c>
      <c r="D95" s="111">
        <v>0</v>
      </c>
      <c r="E95" s="21">
        <v>1</v>
      </c>
      <c r="F95" s="21">
        <f t="shared" si="71"/>
        <v>16</v>
      </c>
      <c r="G95" s="273">
        <v>19</v>
      </c>
      <c r="H95" s="154">
        <f t="shared" si="61"/>
        <v>304</v>
      </c>
      <c r="I95" s="154">
        <f t="shared" si="62"/>
        <v>30.400000000000002</v>
      </c>
      <c r="J95" s="154">
        <f t="shared" si="63"/>
        <v>15.200000000000001</v>
      </c>
      <c r="K95" s="156">
        <f t="shared" si="64"/>
        <v>349.59999999999997</v>
      </c>
      <c r="L95" s="111">
        <f>ROUND(H95*Inputs!$G$82+I95*Inputs!$G$84+J95*Inputs!$G$83,0)</f>
        <v>34602</v>
      </c>
      <c r="M95" s="111">
        <f t="shared" si="65"/>
        <v>0</v>
      </c>
    </row>
    <row r="96" spans="2:13" x14ac:dyDescent="0.2">
      <c r="B96" s="176" t="s">
        <v>69</v>
      </c>
      <c r="C96" s="21" t="s">
        <v>58</v>
      </c>
      <c r="D96" s="111"/>
      <c r="E96" s="21"/>
      <c r="F96" s="21"/>
      <c r="G96" s="21"/>
      <c r="H96" s="154"/>
      <c r="I96" s="154"/>
      <c r="J96" s="154"/>
      <c r="K96" s="154"/>
      <c r="L96" s="111"/>
      <c r="M96" s="111"/>
    </row>
    <row r="97" spans="2:15" ht="10.5" thickBot="1" x14ac:dyDescent="0.25">
      <c r="B97" s="188" t="s">
        <v>56</v>
      </c>
      <c r="C97" s="189"/>
      <c r="D97" s="189"/>
      <c r="E97" s="189"/>
      <c r="F97" s="189"/>
      <c r="G97" s="189"/>
      <c r="H97" s="223">
        <f>SUM(H79:H95)</f>
        <v>304</v>
      </c>
      <c r="I97" s="223">
        <f>SUM(I79:I95)</f>
        <v>30.400000000000002</v>
      </c>
      <c r="J97" s="223">
        <f>SUM(J79:J95)</f>
        <v>15.200000000000001</v>
      </c>
      <c r="K97" s="223">
        <f>SUM(K79:K95)</f>
        <v>349.59999999999997</v>
      </c>
      <c r="L97" s="224">
        <f>SUM(L79:L95)</f>
        <v>34602</v>
      </c>
      <c r="M97" s="224">
        <f>SUM(M79:M94)</f>
        <v>0</v>
      </c>
    </row>
    <row r="98" spans="2:15" s="151" customFormat="1" ht="13.5" customHeight="1" thickTop="1" x14ac:dyDescent="0.35">
      <c r="B98" s="186" t="s">
        <v>31</v>
      </c>
      <c r="C98" s="187"/>
      <c r="D98" s="187"/>
      <c r="E98" s="187"/>
      <c r="F98" s="187"/>
      <c r="G98" s="187"/>
      <c r="H98" s="225">
        <f t="shared" ref="H98:M98" si="107">H97+H73</f>
        <v>760</v>
      </c>
      <c r="I98" s="225">
        <f t="shared" si="107"/>
        <v>76</v>
      </c>
      <c r="J98" s="225">
        <f t="shared" si="107"/>
        <v>38</v>
      </c>
      <c r="K98" s="225">
        <f t="shared" si="107"/>
        <v>874</v>
      </c>
      <c r="L98" s="226">
        <f t="shared" si="107"/>
        <v>86506</v>
      </c>
      <c r="M98" s="226">
        <f t="shared" si="107"/>
        <v>0</v>
      </c>
      <c r="O98" s="152"/>
    </row>
    <row r="99" spans="2:15" ht="7.5" customHeight="1" x14ac:dyDescent="0.2">
      <c r="B99" s="181"/>
      <c r="G99" s="11"/>
      <c r="H99" s="9"/>
      <c r="I99" s="10"/>
      <c r="J99" s="10"/>
      <c r="K99" s="12"/>
      <c r="L99" s="12"/>
      <c r="M99" s="12"/>
    </row>
    <row r="100" spans="2:15" x14ac:dyDescent="0.2">
      <c r="B100" s="181"/>
      <c r="G100" s="9"/>
      <c r="H100" s="9"/>
      <c r="I100" s="10"/>
      <c r="J100" s="144" t="s">
        <v>51</v>
      </c>
      <c r="K100" s="144" t="s">
        <v>70</v>
      </c>
      <c r="L100" s="155" t="s">
        <v>71</v>
      </c>
      <c r="M100" s="155" t="s">
        <v>43</v>
      </c>
    </row>
    <row r="101" spans="2:15" x14ac:dyDescent="0.2">
      <c r="B101" s="181"/>
      <c r="G101" s="145" t="s">
        <v>72</v>
      </c>
      <c r="H101" s="146"/>
      <c r="I101" s="150"/>
      <c r="J101" s="144">
        <f>H98+I98+J98</f>
        <v>874</v>
      </c>
      <c r="K101" s="117">
        <f>L98</f>
        <v>86506</v>
      </c>
      <c r="L101" s="117">
        <f>M98</f>
        <v>0</v>
      </c>
      <c r="M101" s="117">
        <f>L101+K101</f>
        <v>86506</v>
      </c>
    </row>
    <row r="102" spans="2:15" ht="7.5" customHeight="1" x14ac:dyDescent="0.2">
      <c r="B102" s="181"/>
      <c r="G102" s="11"/>
      <c r="H102" s="9"/>
      <c r="I102" s="10"/>
      <c r="J102" s="10"/>
      <c r="K102" s="12"/>
      <c r="L102" s="12"/>
      <c r="M102" s="12"/>
    </row>
    <row r="103" spans="2:15" x14ac:dyDescent="0.2">
      <c r="B103" s="181"/>
      <c r="G103" s="145" t="s">
        <v>73</v>
      </c>
      <c r="H103" s="146"/>
      <c r="I103" s="147"/>
      <c r="J103" s="147"/>
      <c r="K103" s="148"/>
      <c r="L103" s="149"/>
      <c r="M103" s="117">
        <f>L7++M10+M13+M16+M40+M43</f>
        <v>51904</v>
      </c>
    </row>
    <row r="104" spans="2:15" x14ac:dyDescent="0.2">
      <c r="B104" s="182"/>
      <c r="C104" s="183"/>
      <c r="D104" s="183"/>
      <c r="E104" s="183"/>
      <c r="F104" s="183"/>
      <c r="G104" s="145" t="s">
        <v>74</v>
      </c>
      <c r="H104" s="184"/>
      <c r="I104" s="184"/>
      <c r="J104" s="184"/>
      <c r="K104" s="148"/>
      <c r="L104" s="185"/>
      <c r="M104" s="117">
        <f>M98</f>
        <v>0</v>
      </c>
    </row>
    <row r="105" spans="2:15" ht="8.25" customHeight="1" x14ac:dyDescent="0.2"/>
    <row r="106" spans="2:15" x14ac:dyDescent="0.2">
      <c r="B106" s="17" t="s">
        <v>86</v>
      </c>
      <c r="L106" s="23"/>
    </row>
    <row r="107" spans="2:15" ht="22.15" customHeight="1" x14ac:dyDescent="0.2">
      <c r="B107" s="298" t="s">
        <v>296</v>
      </c>
      <c r="C107" s="298"/>
      <c r="D107" s="298"/>
      <c r="E107" s="298"/>
      <c r="F107" s="298"/>
      <c r="G107" s="298"/>
      <c r="H107" s="298"/>
      <c r="I107" s="298"/>
      <c r="J107" s="298"/>
      <c r="K107" s="298"/>
      <c r="L107" s="298"/>
      <c r="M107" s="298"/>
    </row>
    <row r="108" spans="2:15" ht="42.65" customHeight="1" x14ac:dyDescent="0.2">
      <c r="B108" s="298" t="s">
        <v>280</v>
      </c>
      <c r="C108" s="298"/>
      <c r="D108" s="298"/>
      <c r="E108" s="298"/>
      <c r="F108" s="298"/>
      <c r="G108" s="298"/>
      <c r="H108" s="298"/>
      <c r="I108" s="298"/>
      <c r="J108" s="298"/>
      <c r="K108" s="298"/>
      <c r="L108" s="298"/>
      <c r="M108" s="298"/>
    </row>
    <row r="109" spans="2:15" ht="12" customHeight="1" x14ac:dyDescent="0.2">
      <c r="B109" s="298" t="s">
        <v>281</v>
      </c>
      <c r="C109" s="298"/>
      <c r="D109" s="298"/>
      <c r="E109" s="298"/>
      <c r="F109" s="298"/>
      <c r="G109" s="298"/>
      <c r="H109" s="298"/>
      <c r="I109" s="298"/>
      <c r="J109" s="298"/>
      <c r="K109" s="298"/>
      <c r="L109" s="298"/>
      <c r="M109" s="298"/>
    </row>
    <row r="110" spans="2:15" ht="10.15" customHeight="1" x14ac:dyDescent="0.2">
      <c r="B110" s="300" t="s">
        <v>282</v>
      </c>
      <c r="C110" s="300"/>
      <c r="D110" s="300"/>
      <c r="E110" s="300"/>
      <c r="F110" s="300"/>
      <c r="G110" s="300"/>
      <c r="H110" s="300"/>
      <c r="I110" s="300"/>
      <c r="J110" s="300"/>
      <c r="K110" s="300"/>
      <c r="L110" s="300"/>
      <c r="M110" s="300"/>
    </row>
    <row r="111" spans="2:15" ht="10.15" customHeight="1" x14ac:dyDescent="0.2">
      <c r="B111" s="298" t="s">
        <v>297</v>
      </c>
      <c r="C111" s="298"/>
      <c r="D111" s="298"/>
      <c r="E111" s="298"/>
      <c r="F111" s="298"/>
      <c r="G111" s="298"/>
      <c r="H111" s="298"/>
      <c r="I111" s="298"/>
      <c r="J111" s="298"/>
      <c r="K111" s="298"/>
      <c r="L111" s="298"/>
      <c r="M111" s="298"/>
    </row>
    <row r="112" spans="2:15" ht="10.15" customHeight="1" x14ac:dyDescent="0.2">
      <c r="B112" s="298" t="s">
        <v>298</v>
      </c>
      <c r="C112" s="298"/>
      <c r="D112" s="298"/>
      <c r="E112" s="298"/>
      <c r="F112" s="298"/>
      <c r="G112" s="298"/>
      <c r="H112" s="298"/>
      <c r="I112" s="298"/>
      <c r="J112" s="298"/>
      <c r="K112" s="298"/>
      <c r="L112" s="298"/>
      <c r="M112" s="298"/>
    </row>
    <row r="113" spans="2:13" x14ac:dyDescent="0.2">
      <c r="B113" s="298" t="s">
        <v>299</v>
      </c>
      <c r="C113" s="298"/>
      <c r="D113" s="298"/>
      <c r="E113" s="298"/>
      <c r="F113" s="298"/>
      <c r="G113" s="298"/>
      <c r="H113" s="298"/>
      <c r="I113" s="298"/>
      <c r="J113" s="298"/>
      <c r="K113" s="298"/>
      <c r="L113" s="298"/>
      <c r="M113" s="298"/>
    </row>
    <row r="114" spans="2:13" ht="13.15" customHeight="1" x14ac:dyDescent="0.2">
      <c r="B114" s="298" t="s">
        <v>300</v>
      </c>
      <c r="C114" s="298"/>
      <c r="D114" s="298"/>
      <c r="E114" s="298"/>
      <c r="F114" s="298"/>
      <c r="G114" s="298"/>
      <c r="H114" s="298"/>
      <c r="I114" s="298"/>
      <c r="J114" s="298"/>
      <c r="K114" s="298"/>
      <c r="L114" s="298"/>
      <c r="M114" s="298"/>
    </row>
    <row r="115" spans="2:13" ht="11.25" customHeight="1" x14ac:dyDescent="0.2">
      <c r="B115" s="298" t="s">
        <v>283</v>
      </c>
      <c r="C115" s="298"/>
      <c r="D115" s="298"/>
      <c r="E115" s="298"/>
      <c r="F115" s="298"/>
      <c r="G115" s="298"/>
      <c r="H115" s="298"/>
      <c r="I115" s="298"/>
      <c r="J115" s="298"/>
      <c r="K115" s="298"/>
      <c r="L115" s="298"/>
      <c r="M115" s="298"/>
    </row>
    <row r="116" spans="2:13" x14ac:dyDescent="0.2">
      <c r="B116" s="300" t="s">
        <v>284</v>
      </c>
      <c r="C116" s="300"/>
      <c r="D116" s="300"/>
      <c r="E116" s="300"/>
      <c r="F116" s="300"/>
      <c r="G116" s="300"/>
      <c r="H116" s="300"/>
      <c r="I116" s="300"/>
      <c r="J116" s="300"/>
      <c r="K116" s="300"/>
      <c r="L116" s="300"/>
      <c r="M116" s="300"/>
    </row>
    <row r="117" spans="2:13" x14ac:dyDescent="0.2">
      <c r="B117" s="301" t="s">
        <v>285</v>
      </c>
      <c r="C117" s="301"/>
      <c r="D117" s="301"/>
      <c r="E117" s="301"/>
      <c r="F117" s="301"/>
      <c r="G117" s="301"/>
      <c r="H117" s="301"/>
      <c r="I117" s="301"/>
      <c r="J117" s="301"/>
      <c r="K117" s="301"/>
      <c r="L117" s="301"/>
      <c r="M117" s="301"/>
    </row>
  </sheetData>
  <sheetProtection algorithmName="SHA-512" hashValue="ZG31LnuYwzmx9N3lhQj+Qk4n2/0CrB2e4PEkIIB6e2b+GLydJH2mVKztPskrjPDuQiFJ8qJ0CDe6xyNDQyrQcw==" saltValue="Yqnhxd8O4jwm1RkGQb1osQ==" spinCount="100000" sheet="1" objects="1" scenarios="1"/>
  <mergeCells count="12">
    <mergeCell ref="B113:M113"/>
    <mergeCell ref="B114:M114"/>
    <mergeCell ref="B115:M115"/>
    <mergeCell ref="B116:M116"/>
    <mergeCell ref="B117:M117"/>
    <mergeCell ref="B111:M111"/>
    <mergeCell ref="B2:M2"/>
    <mergeCell ref="B112:M112"/>
    <mergeCell ref="B110:M110"/>
    <mergeCell ref="B108:M108"/>
    <mergeCell ref="B109:M109"/>
    <mergeCell ref="B107:M107"/>
  </mergeCells>
  <printOptions horizontalCentered="1"/>
  <pageMargins left="0.5" right="0.5" top="0.5" bottom="0.5" header="0.3" footer="0.3"/>
  <pageSetup scale="86" fitToHeight="2" orientation="landscape" r:id="rId1"/>
  <rowBreaks count="1" manualBreakCount="1">
    <brk id="73"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A3CEB-08FD-4CAE-986A-905EDE636F32}">
  <sheetPr>
    <tabColor rgb="FF7030A0"/>
  </sheetPr>
  <dimension ref="B2:O117"/>
  <sheetViews>
    <sheetView zoomScaleNormal="100" zoomScaleSheetLayoutView="80" workbookViewId="0">
      <pane ySplit="3" topLeftCell="A51" activePane="bottomLeft" state="frozen"/>
      <selection activeCell="Q53" sqref="Q53"/>
      <selection pane="bottomLeft"/>
    </sheetView>
  </sheetViews>
  <sheetFormatPr defaultColWidth="9.1796875" defaultRowHeight="10" x14ac:dyDescent="0.2"/>
  <cols>
    <col min="1" max="1" width="2.1796875" style="17" customWidth="1"/>
    <col min="2" max="2" width="32.54296875" style="17" customWidth="1"/>
    <col min="3" max="4" width="9.26953125" style="17" bestFit="1" customWidth="1"/>
    <col min="5" max="5" width="10.1796875" style="17" bestFit="1" customWidth="1"/>
    <col min="6" max="6" width="9.7265625" style="17" customWidth="1"/>
    <col min="7" max="7" width="10.1796875" style="17" bestFit="1" customWidth="1"/>
    <col min="8" max="8" width="7.81640625" style="17" bestFit="1" customWidth="1"/>
    <col min="9" max="9" width="8.81640625" style="17" bestFit="1" customWidth="1"/>
    <col min="10" max="10" width="9.7265625" style="17" bestFit="1" customWidth="1"/>
    <col min="11" max="11" width="9.26953125" style="17" bestFit="1" customWidth="1"/>
    <col min="12" max="12" width="9.54296875" style="17" bestFit="1" customWidth="1"/>
    <col min="13" max="13" width="10.1796875" style="17" bestFit="1" customWidth="1"/>
    <col min="14" max="14" width="2.54296875" style="17" customWidth="1"/>
    <col min="15" max="15" width="29.1796875" style="101" customWidth="1"/>
    <col min="16" max="16384" width="9.1796875" style="17"/>
  </cols>
  <sheetData>
    <row r="2" spans="2:13" ht="15.5" x14ac:dyDescent="0.2">
      <c r="B2" s="299" t="s">
        <v>287</v>
      </c>
      <c r="C2" s="299"/>
      <c r="D2" s="299"/>
      <c r="E2" s="299"/>
      <c r="F2" s="299"/>
      <c r="G2" s="299"/>
      <c r="H2" s="299"/>
      <c r="I2" s="299"/>
      <c r="J2" s="299"/>
      <c r="K2" s="299"/>
      <c r="L2" s="299"/>
      <c r="M2" s="299"/>
    </row>
    <row r="3" spans="2:13" s="20" customFormat="1" ht="69.75" customHeight="1" x14ac:dyDescent="0.2">
      <c r="B3" s="153" t="s">
        <v>2</v>
      </c>
      <c r="C3" s="153" t="s">
        <v>3</v>
      </c>
      <c r="D3" s="153" t="s">
        <v>75</v>
      </c>
      <c r="E3" s="153" t="s">
        <v>82</v>
      </c>
      <c r="F3" s="153" t="s">
        <v>99</v>
      </c>
      <c r="G3" s="173" t="s">
        <v>252</v>
      </c>
      <c r="H3" s="174" t="s">
        <v>90</v>
      </c>
      <c r="I3" s="174" t="s">
        <v>84</v>
      </c>
      <c r="J3" s="174" t="s">
        <v>85</v>
      </c>
      <c r="K3" s="174" t="s">
        <v>104</v>
      </c>
      <c r="L3" s="153" t="s">
        <v>251</v>
      </c>
      <c r="M3" s="174" t="s">
        <v>106</v>
      </c>
    </row>
    <row r="4" spans="2:13" ht="10.5" customHeight="1" x14ac:dyDescent="0.2">
      <c r="B4" s="175" t="s">
        <v>57</v>
      </c>
      <c r="C4" s="153" t="s">
        <v>58</v>
      </c>
      <c r="D4" s="21"/>
      <c r="E4" s="21"/>
      <c r="F4" s="21"/>
      <c r="G4" s="21"/>
      <c r="H4" s="21"/>
      <c r="I4" s="21"/>
      <c r="J4" s="21"/>
      <c r="K4" s="21"/>
      <c r="L4" s="21"/>
      <c r="M4" s="21"/>
    </row>
    <row r="5" spans="2:13" ht="10.5" customHeight="1" x14ac:dyDescent="0.2">
      <c r="B5" s="175" t="s">
        <v>59</v>
      </c>
      <c r="C5" s="153" t="s">
        <v>58</v>
      </c>
      <c r="D5" s="21"/>
      <c r="E5" s="21"/>
      <c r="F5" s="21"/>
      <c r="G5" s="21"/>
      <c r="H5" s="21"/>
      <c r="I5" s="21"/>
      <c r="J5" s="21"/>
      <c r="K5" s="21"/>
      <c r="L5" s="21"/>
      <c r="M5" s="21"/>
    </row>
    <row r="6" spans="2:13" ht="10.5" customHeight="1" x14ac:dyDescent="0.2">
      <c r="B6" s="175" t="s">
        <v>60</v>
      </c>
      <c r="C6" s="153"/>
      <c r="D6" s="21"/>
      <c r="E6" s="21"/>
      <c r="F6" s="21"/>
      <c r="G6" s="21"/>
      <c r="H6" s="21"/>
      <c r="I6" s="21"/>
      <c r="J6" s="21"/>
      <c r="K6" s="21"/>
      <c r="L6" s="21"/>
      <c r="M6" s="21"/>
    </row>
    <row r="7" spans="2:13" ht="12" x14ac:dyDescent="0.2">
      <c r="B7" s="176" t="s">
        <v>253</v>
      </c>
      <c r="C7" s="21">
        <v>24</v>
      </c>
      <c r="D7" s="111">
        <v>0</v>
      </c>
      <c r="E7" s="21">
        <v>1</v>
      </c>
      <c r="F7" s="154">
        <f>C7*E7</f>
        <v>24</v>
      </c>
      <c r="G7" s="272">
        <v>0</v>
      </c>
      <c r="H7" s="154">
        <f>G7*F7</f>
        <v>0</v>
      </c>
      <c r="I7" s="154">
        <f>H7*0.1</f>
        <v>0</v>
      </c>
      <c r="J7" s="154">
        <f>H7*0.05</f>
        <v>0</v>
      </c>
      <c r="K7" s="154">
        <f>SUM(H7:J7)</f>
        <v>0</v>
      </c>
      <c r="L7" s="111">
        <f>ROUND(H7*Inputs!$G$82+I7*Inputs!$G$84+J7*Inputs!$G$83,0)</f>
        <v>0</v>
      </c>
      <c r="M7" s="111">
        <f>D7*E7*G7</f>
        <v>0</v>
      </c>
    </row>
    <row r="8" spans="2:13" x14ac:dyDescent="0.2">
      <c r="B8" s="176" t="s">
        <v>61</v>
      </c>
      <c r="C8" s="21"/>
      <c r="D8" s="111"/>
      <c r="E8" s="21"/>
      <c r="F8" s="154"/>
      <c r="G8" s="154"/>
      <c r="H8" s="154"/>
      <c r="I8" s="154"/>
      <c r="J8" s="154"/>
      <c r="K8" s="154"/>
      <c r="L8" s="111"/>
      <c r="M8" s="111"/>
    </row>
    <row r="9" spans="2:13" ht="12" x14ac:dyDescent="0.2">
      <c r="B9" s="179" t="s">
        <v>254</v>
      </c>
      <c r="C9" s="21"/>
      <c r="D9" s="111"/>
      <c r="E9" s="21"/>
      <c r="F9" s="154"/>
      <c r="G9" s="154"/>
      <c r="H9" s="154"/>
      <c r="I9" s="154"/>
      <c r="J9" s="154"/>
      <c r="K9" s="154"/>
      <c r="L9" s="111"/>
      <c r="M9" s="111"/>
    </row>
    <row r="10" spans="2:13" x14ac:dyDescent="0.2">
      <c r="B10" s="178" t="s">
        <v>93</v>
      </c>
      <c r="C10" s="21">
        <v>0</v>
      </c>
      <c r="D10" s="111">
        <f>Inputs!F21</f>
        <v>364905</v>
      </c>
      <c r="E10" s="21">
        <v>1</v>
      </c>
      <c r="F10" s="154">
        <f>C10*E10</f>
        <v>0</v>
      </c>
      <c r="G10" s="272">
        <v>6</v>
      </c>
      <c r="H10" s="154">
        <f>G10*F10</f>
        <v>0</v>
      </c>
      <c r="I10" s="154">
        <f>H10*0.1</f>
        <v>0</v>
      </c>
      <c r="J10" s="154">
        <f>H10*0.05</f>
        <v>0</v>
      </c>
      <c r="K10" s="154">
        <f>SUM(H10:J10)</f>
        <v>0</v>
      </c>
      <c r="L10" s="111">
        <f>ROUND(H10*Inputs!$G$82+I10*Inputs!$G$84+J10*Inputs!$G$83,0)</f>
        <v>0</v>
      </c>
      <c r="M10" s="111">
        <f>D10*E10*G10</f>
        <v>2189430</v>
      </c>
    </row>
    <row r="11" spans="2:13" x14ac:dyDescent="0.2">
      <c r="B11" s="178" t="s">
        <v>94</v>
      </c>
      <c r="C11" s="21">
        <v>0</v>
      </c>
      <c r="D11" s="111">
        <f>Inputs!G21</f>
        <v>69400</v>
      </c>
      <c r="E11" s="21">
        <v>1</v>
      </c>
      <c r="F11" s="154">
        <f>C11*E11</f>
        <v>0</v>
      </c>
      <c r="G11" s="272">
        <v>6</v>
      </c>
      <c r="H11" s="154">
        <f>G11*F11</f>
        <v>0</v>
      </c>
      <c r="I11" s="154">
        <f>H11*0.1</f>
        <v>0</v>
      </c>
      <c r="J11" s="154">
        <f>H11*0.05</f>
        <v>0</v>
      </c>
      <c r="K11" s="154">
        <f>SUM(H11:J11)</f>
        <v>0</v>
      </c>
      <c r="L11" s="111">
        <f>ROUND(H11*Inputs!$G$82+I11*Inputs!$G$84+J11*Inputs!$G$83,0)</f>
        <v>0</v>
      </c>
      <c r="M11" s="111">
        <f>D11*E11*G11</f>
        <v>416400</v>
      </c>
    </row>
    <row r="12" spans="2:13" x14ac:dyDescent="0.2">
      <c r="B12" s="179" t="s">
        <v>151</v>
      </c>
      <c r="C12" s="21"/>
      <c r="D12" s="111"/>
      <c r="E12" s="21"/>
      <c r="F12" s="154"/>
      <c r="G12" s="154"/>
      <c r="H12" s="154"/>
      <c r="I12" s="154"/>
      <c r="J12" s="154"/>
      <c r="K12" s="154"/>
      <c r="L12" s="111"/>
      <c r="M12" s="111"/>
    </row>
    <row r="13" spans="2:13" x14ac:dyDescent="0.2">
      <c r="B13" s="178" t="s">
        <v>93</v>
      </c>
      <c r="C13" s="21">
        <v>0</v>
      </c>
      <c r="D13" s="111">
        <f>Inputs!C31</f>
        <v>26526</v>
      </c>
      <c r="E13" s="21">
        <v>1</v>
      </c>
      <c r="F13" s="154">
        <f>C13*E13</f>
        <v>0</v>
      </c>
      <c r="G13" s="272">
        <v>6</v>
      </c>
      <c r="H13" s="154">
        <f>G13*F13</f>
        <v>0</v>
      </c>
      <c r="I13" s="154">
        <f>H13*0.1</f>
        <v>0</v>
      </c>
      <c r="J13" s="154">
        <f>H13*0.05</f>
        <v>0</v>
      </c>
      <c r="K13" s="154">
        <f>SUM(H13:J13)</f>
        <v>0</v>
      </c>
      <c r="L13" s="111">
        <f>ROUND(H13*Inputs!$G$82+I13*Inputs!$G$84+J13*Inputs!$G$83,0)</f>
        <v>0</v>
      </c>
      <c r="M13" s="111">
        <f>D13*E13*G13</f>
        <v>159156</v>
      </c>
    </row>
    <row r="14" spans="2:13" x14ac:dyDescent="0.2">
      <c r="B14" s="178" t="s">
        <v>94</v>
      </c>
      <c r="C14" s="21">
        <v>0</v>
      </c>
      <c r="D14" s="111">
        <f>Inputs!D31</f>
        <v>6784</v>
      </c>
      <c r="E14" s="21">
        <v>1</v>
      </c>
      <c r="F14" s="154">
        <f>C14*E14</f>
        <v>0</v>
      </c>
      <c r="G14" s="272">
        <v>6</v>
      </c>
      <c r="H14" s="154">
        <f>G14*F14</f>
        <v>0</v>
      </c>
      <c r="I14" s="154">
        <f>H14*0.1</f>
        <v>0</v>
      </c>
      <c r="J14" s="154">
        <f>H14*0.05</f>
        <v>0</v>
      </c>
      <c r="K14" s="154">
        <f>SUM(H14:J14)</f>
        <v>0</v>
      </c>
      <c r="L14" s="111">
        <f>ROUND(H14*Inputs!$G$82+I14*Inputs!$G$84+J14*Inputs!$G$83,0)</f>
        <v>0</v>
      </c>
      <c r="M14" s="111">
        <f>D14*E14*G14</f>
        <v>40704</v>
      </c>
    </row>
    <row r="15" spans="2:13" x14ac:dyDescent="0.2">
      <c r="B15" s="179" t="s">
        <v>152</v>
      </c>
      <c r="C15" s="21"/>
      <c r="D15" s="111"/>
      <c r="E15" s="21"/>
      <c r="F15" s="154"/>
      <c r="G15" s="154"/>
      <c r="H15" s="154"/>
      <c r="I15" s="154"/>
      <c r="J15" s="154"/>
      <c r="K15" s="154"/>
      <c r="L15" s="111"/>
      <c r="M15" s="111"/>
    </row>
    <row r="16" spans="2:13" x14ac:dyDescent="0.2">
      <c r="B16" s="178" t="s">
        <v>93</v>
      </c>
      <c r="C16" s="21">
        <v>0</v>
      </c>
      <c r="D16" s="111">
        <f>Inputs!C37</f>
        <v>2543</v>
      </c>
      <c r="E16" s="21">
        <v>1</v>
      </c>
      <c r="F16" s="154">
        <f>C16*E16</f>
        <v>0</v>
      </c>
      <c r="G16" s="272">
        <v>6</v>
      </c>
      <c r="H16" s="154">
        <f>G16*F16</f>
        <v>0</v>
      </c>
      <c r="I16" s="154">
        <f>H16*0.1</f>
        <v>0</v>
      </c>
      <c r="J16" s="154">
        <f>H16*0.05</f>
        <v>0</v>
      </c>
      <c r="K16" s="154">
        <f>SUM(H16:J16)</f>
        <v>0</v>
      </c>
      <c r="L16" s="111">
        <f>ROUND(H16*Inputs!$G$82+I16*Inputs!$G$84+J16*Inputs!$G$83,0)</f>
        <v>0</v>
      </c>
      <c r="M16" s="111">
        <f>D16*E16*G16</f>
        <v>15258</v>
      </c>
    </row>
    <row r="17" spans="2:13" x14ac:dyDescent="0.2">
      <c r="B17" s="178" t="s">
        <v>94</v>
      </c>
      <c r="C17" s="21">
        <v>0</v>
      </c>
      <c r="D17" s="111">
        <f>Inputs!D37</f>
        <v>523</v>
      </c>
      <c r="E17" s="21">
        <v>1</v>
      </c>
      <c r="F17" s="154">
        <f>C17*E17</f>
        <v>0</v>
      </c>
      <c r="G17" s="272">
        <v>6</v>
      </c>
      <c r="H17" s="154">
        <f>G17*F17</f>
        <v>0</v>
      </c>
      <c r="I17" s="154">
        <f>H17*0.1</f>
        <v>0</v>
      </c>
      <c r="J17" s="154">
        <f>H17*0.05</f>
        <v>0</v>
      </c>
      <c r="K17" s="154">
        <f>SUM(H17:J17)</f>
        <v>0</v>
      </c>
      <c r="L17" s="111">
        <f>ROUND(H17*Inputs!$G$82+I17*Inputs!$G$84+J17*Inputs!$G$83,0)</f>
        <v>0</v>
      </c>
      <c r="M17" s="111">
        <f>D17*E17*G17</f>
        <v>3138</v>
      </c>
    </row>
    <row r="18" spans="2:13" ht="22" x14ac:dyDescent="0.2">
      <c r="B18" s="177" t="s">
        <v>255</v>
      </c>
      <c r="C18" s="21"/>
      <c r="D18" s="111"/>
      <c r="E18" s="21"/>
      <c r="F18" s="154"/>
      <c r="G18" s="154"/>
      <c r="H18" s="154"/>
      <c r="I18" s="154"/>
      <c r="J18" s="154"/>
      <c r="K18" s="154"/>
      <c r="L18" s="111"/>
      <c r="M18" s="111"/>
    </row>
    <row r="19" spans="2:13" x14ac:dyDescent="0.2">
      <c r="B19" s="178" t="s">
        <v>93</v>
      </c>
      <c r="C19" s="21">
        <v>0</v>
      </c>
      <c r="D19" s="111">
        <f>Inputs!C43</f>
        <v>16500</v>
      </c>
      <c r="E19" s="21">
        <v>1</v>
      </c>
      <c r="F19" s="154">
        <f>C19*E19</f>
        <v>0</v>
      </c>
      <c r="G19" s="154">
        <v>1</v>
      </c>
      <c r="H19" s="154">
        <f>G19*F19</f>
        <v>0</v>
      </c>
      <c r="I19" s="154">
        <f>H19*0.1</f>
        <v>0</v>
      </c>
      <c r="J19" s="154">
        <f>H19*0.05</f>
        <v>0</v>
      </c>
      <c r="K19" s="154">
        <f>SUM(H19:J19)</f>
        <v>0</v>
      </c>
      <c r="L19" s="111">
        <f>ROUND(H19*Inputs!$G$82+I19*Inputs!$G$84+J19*Inputs!$G$83,0)</f>
        <v>0</v>
      </c>
      <c r="M19" s="111">
        <f>D19*E19*G19</f>
        <v>16500</v>
      </c>
    </row>
    <row r="20" spans="2:13" x14ac:dyDescent="0.2">
      <c r="B20" s="178" t="s">
        <v>94</v>
      </c>
      <c r="C20" s="21">
        <v>0</v>
      </c>
      <c r="D20" s="111">
        <f>Inputs!D43</f>
        <v>1400</v>
      </c>
      <c r="E20" s="21">
        <v>1</v>
      </c>
      <c r="F20" s="154">
        <f>C20*E20</f>
        <v>0</v>
      </c>
      <c r="G20" s="154">
        <v>1</v>
      </c>
      <c r="H20" s="154">
        <f>G20*F20</f>
        <v>0</v>
      </c>
      <c r="I20" s="154">
        <f>H20*0.1</f>
        <v>0</v>
      </c>
      <c r="J20" s="154">
        <f>H20*0.05</f>
        <v>0</v>
      </c>
      <c r="K20" s="154">
        <f>SUM(H20:J20)</f>
        <v>0</v>
      </c>
      <c r="L20" s="111">
        <f>ROUND(H20*Inputs!$G$82+I20*Inputs!$G$84+J20*Inputs!$G$83,0)</f>
        <v>0</v>
      </c>
      <c r="M20" s="111">
        <f>D20*E20*G20</f>
        <v>1400</v>
      </c>
    </row>
    <row r="21" spans="2:13" x14ac:dyDescent="0.2">
      <c r="B21" s="177" t="s">
        <v>190</v>
      </c>
      <c r="C21" s="21"/>
      <c r="D21" s="111"/>
      <c r="E21" s="21"/>
      <c r="F21" s="154"/>
      <c r="G21" s="154"/>
      <c r="H21" s="154"/>
      <c r="I21" s="154"/>
      <c r="J21" s="154"/>
      <c r="K21" s="154"/>
      <c r="L21" s="111"/>
      <c r="M21" s="111"/>
    </row>
    <row r="22" spans="2:13" x14ac:dyDescent="0.2">
      <c r="B22" s="178" t="s">
        <v>93</v>
      </c>
      <c r="C22" s="21">
        <v>0</v>
      </c>
      <c r="D22" s="111">
        <f>Inputs!C49</f>
        <v>116</v>
      </c>
      <c r="E22" s="21">
        <v>1</v>
      </c>
      <c r="F22" s="154">
        <f>C22*E22</f>
        <v>0</v>
      </c>
      <c r="G22" s="272">
        <v>6</v>
      </c>
      <c r="H22" s="154">
        <f>G22*F22</f>
        <v>0</v>
      </c>
      <c r="I22" s="154">
        <f>H22*0.1</f>
        <v>0</v>
      </c>
      <c r="J22" s="154">
        <f>H22*0.05</f>
        <v>0</v>
      </c>
      <c r="K22" s="154">
        <f>SUM(H22:J22)</f>
        <v>0</v>
      </c>
      <c r="L22" s="111">
        <f>ROUND(H22*Inputs!$G$82+I22*Inputs!$G$84+J22*Inputs!$G$83,0)</f>
        <v>0</v>
      </c>
      <c r="M22" s="111">
        <f>D22*E22*G22</f>
        <v>696</v>
      </c>
    </row>
    <row r="23" spans="2:13" x14ac:dyDescent="0.2">
      <c r="B23" s="178" t="s">
        <v>94</v>
      </c>
      <c r="C23" s="21">
        <v>0</v>
      </c>
      <c r="D23" s="111">
        <f>Inputs!D49</f>
        <v>109</v>
      </c>
      <c r="E23" s="21">
        <v>1</v>
      </c>
      <c r="F23" s="154">
        <f>C23*E23</f>
        <v>0</v>
      </c>
      <c r="G23" s="272">
        <v>6</v>
      </c>
      <c r="H23" s="154">
        <f>G23*F23</f>
        <v>0</v>
      </c>
      <c r="I23" s="154">
        <f>H23*0.1</f>
        <v>0</v>
      </c>
      <c r="J23" s="154">
        <f>H23*0.05</f>
        <v>0</v>
      </c>
      <c r="K23" s="154">
        <f>SUM(H23:J23)</f>
        <v>0</v>
      </c>
      <c r="L23" s="111">
        <f>ROUND(H23*Inputs!$G$82+I23*Inputs!$G$84+J23*Inputs!$G$83,0)</f>
        <v>0</v>
      </c>
      <c r="M23" s="111">
        <f>D23*E23*G23</f>
        <v>654</v>
      </c>
    </row>
    <row r="24" spans="2:13" ht="20" x14ac:dyDescent="0.2">
      <c r="B24" s="177" t="s">
        <v>191</v>
      </c>
      <c r="C24" s="21"/>
      <c r="D24" s="111"/>
      <c r="E24" s="21"/>
      <c r="F24" s="154"/>
      <c r="G24" s="154"/>
      <c r="H24" s="154"/>
      <c r="I24" s="154"/>
      <c r="J24" s="154"/>
      <c r="K24" s="154"/>
      <c r="L24" s="111"/>
      <c r="M24" s="111"/>
    </row>
    <row r="25" spans="2:13" x14ac:dyDescent="0.2">
      <c r="B25" s="178" t="s">
        <v>93</v>
      </c>
      <c r="C25" s="21">
        <v>0</v>
      </c>
      <c r="D25" s="111">
        <f>Inputs!C55</f>
        <v>2080</v>
      </c>
      <c r="E25" s="21">
        <v>1</v>
      </c>
      <c r="F25" s="154">
        <f>C25*E25</f>
        <v>0</v>
      </c>
      <c r="G25" s="272">
        <v>6</v>
      </c>
      <c r="H25" s="154">
        <f>G25*F25</f>
        <v>0</v>
      </c>
      <c r="I25" s="154">
        <f>H25*0.1</f>
        <v>0</v>
      </c>
      <c r="J25" s="154">
        <f>H25*0.05</f>
        <v>0</v>
      </c>
      <c r="K25" s="154">
        <f>SUM(H25:J25)</f>
        <v>0</v>
      </c>
      <c r="L25" s="111">
        <f>ROUND(H25*Inputs!$G$82+I25*Inputs!$G$84+J25*Inputs!$G$83,0)</f>
        <v>0</v>
      </c>
      <c r="M25" s="111">
        <f>D25*E25*G25</f>
        <v>12480</v>
      </c>
    </row>
    <row r="26" spans="2:13" x14ac:dyDescent="0.2">
      <c r="B26" s="178" t="s">
        <v>94</v>
      </c>
      <c r="C26" s="21">
        <v>0</v>
      </c>
      <c r="D26" s="111">
        <f>Inputs!D55</f>
        <v>360</v>
      </c>
      <c r="E26" s="21">
        <v>1</v>
      </c>
      <c r="F26" s="154">
        <f>C26*E26</f>
        <v>0</v>
      </c>
      <c r="G26" s="272">
        <v>6</v>
      </c>
      <c r="H26" s="154">
        <f>G26*F26</f>
        <v>0</v>
      </c>
      <c r="I26" s="154">
        <f>H26*0.1</f>
        <v>0</v>
      </c>
      <c r="J26" s="154">
        <f>H26*0.05</f>
        <v>0</v>
      </c>
      <c r="K26" s="154">
        <f>SUM(H26:J26)</f>
        <v>0</v>
      </c>
      <c r="L26" s="111">
        <f>ROUND(H26*Inputs!$G$82+I26*Inputs!$G$84+J26*Inputs!$G$83,0)</f>
        <v>0</v>
      </c>
      <c r="M26" s="111">
        <f>D26*E26*G26</f>
        <v>2160</v>
      </c>
    </row>
    <row r="27" spans="2:13" ht="22" x14ac:dyDescent="0.2">
      <c r="B27" s="177" t="s">
        <v>256</v>
      </c>
      <c r="C27" s="21"/>
      <c r="D27" s="111"/>
      <c r="E27" s="21"/>
      <c r="F27" s="154"/>
      <c r="G27" s="154"/>
      <c r="H27" s="154"/>
      <c r="I27" s="154"/>
      <c r="J27" s="154"/>
      <c r="K27" s="154"/>
      <c r="L27" s="111"/>
      <c r="M27" s="111"/>
    </row>
    <row r="28" spans="2:13" x14ac:dyDescent="0.2">
      <c r="B28" s="178" t="s">
        <v>93</v>
      </c>
      <c r="C28" s="21">
        <v>0</v>
      </c>
      <c r="D28" s="111">
        <f>Inputs!C61</f>
        <v>560000</v>
      </c>
      <c r="E28" s="21">
        <v>1</v>
      </c>
      <c r="F28" s="154">
        <f>C28*E28</f>
        <v>0</v>
      </c>
      <c r="G28" s="154">
        <v>1</v>
      </c>
      <c r="H28" s="154">
        <f>G28*F28</f>
        <v>0</v>
      </c>
      <c r="I28" s="154">
        <f>H28*0.1</f>
        <v>0</v>
      </c>
      <c r="J28" s="154">
        <f>H28*0.05</f>
        <v>0</v>
      </c>
      <c r="K28" s="154">
        <f>SUM(H28:J28)</f>
        <v>0</v>
      </c>
      <c r="L28" s="111">
        <f>ROUND(H28*Inputs!$G$82+I28*Inputs!$G$84+J28*Inputs!$G$83,0)</f>
        <v>0</v>
      </c>
      <c r="M28" s="111">
        <f>D28*E28*G28</f>
        <v>560000</v>
      </c>
    </row>
    <row r="29" spans="2:13" x14ac:dyDescent="0.2">
      <c r="B29" s="178" t="s">
        <v>94</v>
      </c>
      <c r="C29" s="21">
        <v>0</v>
      </c>
      <c r="D29" s="111">
        <f>Inputs!D61</f>
        <v>325000</v>
      </c>
      <c r="E29" s="21">
        <v>1</v>
      </c>
      <c r="F29" s="154">
        <f>C29*E29</f>
        <v>0</v>
      </c>
      <c r="G29" s="154">
        <v>1</v>
      </c>
      <c r="H29" s="154">
        <f>G29*F29</f>
        <v>0</v>
      </c>
      <c r="I29" s="154">
        <f>H29*0.1</f>
        <v>0</v>
      </c>
      <c r="J29" s="154">
        <f>H29*0.05</f>
        <v>0</v>
      </c>
      <c r="K29" s="154">
        <f>SUM(H29:J29)</f>
        <v>0</v>
      </c>
      <c r="L29" s="111">
        <f>ROUND(H29*Inputs!$G$82+I29*Inputs!$G$84+J29*Inputs!$G$83,0)</f>
        <v>0</v>
      </c>
      <c r="M29" s="111">
        <f>D29*E29*G29</f>
        <v>325000</v>
      </c>
    </row>
    <row r="30" spans="2:13" ht="12" x14ac:dyDescent="0.2">
      <c r="B30" s="177" t="s">
        <v>257</v>
      </c>
      <c r="C30" s="21"/>
      <c r="D30" s="111"/>
      <c r="E30" s="21"/>
      <c r="F30" s="154"/>
      <c r="G30" s="154"/>
      <c r="H30" s="154"/>
      <c r="I30" s="154"/>
      <c r="J30" s="154"/>
      <c r="K30" s="154"/>
      <c r="L30" s="111"/>
      <c r="M30" s="111"/>
    </row>
    <row r="31" spans="2:13" x14ac:dyDescent="0.2">
      <c r="B31" s="178" t="s">
        <v>93</v>
      </c>
      <c r="C31" s="21">
        <v>0</v>
      </c>
      <c r="D31" s="111">
        <f>Inputs!C67</f>
        <v>10625</v>
      </c>
      <c r="E31" s="21">
        <v>1</v>
      </c>
      <c r="F31" s="154">
        <f>C31*E31</f>
        <v>0</v>
      </c>
      <c r="G31" s="154">
        <v>12</v>
      </c>
      <c r="H31" s="154">
        <f>G31*F31</f>
        <v>0</v>
      </c>
      <c r="I31" s="154">
        <f>H31*0.1</f>
        <v>0</v>
      </c>
      <c r="J31" s="154">
        <f>H31*0.05</f>
        <v>0</v>
      </c>
      <c r="K31" s="154">
        <f>SUM(H31:J31)</f>
        <v>0</v>
      </c>
      <c r="L31" s="111">
        <f>ROUND(H31*Inputs!$G$82+I31*Inputs!$G$84+J31*Inputs!$G$83,0)</f>
        <v>0</v>
      </c>
      <c r="M31" s="111">
        <f>D31*E31*G31</f>
        <v>127500</v>
      </c>
    </row>
    <row r="32" spans="2:13" x14ac:dyDescent="0.2">
      <c r="B32" s="178" t="s">
        <v>94</v>
      </c>
      <c r="C32" s="21">
        <v>0</v>
      </c>
      <c r="D32" s="111">
        <f>Inputs!D67</f>
        <v>104583</v>
      </c>
      <c r="E32" s="21">
        <v>1</v>
      </c>
      <c r="F32" s="154">
        <f>C32*E32</f>
        <v>0</v>
      </c>
      <c r="G32" s="154">
        <v>12</v>
      </c>
      <c r="H32" s="154">
        <f>G32*F32</f>
        <v>0</v>
      </c>
      <c r="I32" s="154">
        <f>H32*0.1</f>
        <v>0</v>
      </c>
      <c r="J32" s="154">
        <f>H32*0.05</f>
        <v>0</v>
      </c>
      <c r="K32" s="154">
        <f>SUM(H32:J32)</f>
        <v>0</v>
      </c>
      <c r="L32" s="111">
        <f>ROUND(H32*Inputs!$G$82+I32*Inputs!$G$84+J32*Inputs!$G$83,0)</f>
        <v>0</v>
      </c>
      <c r="M32" s="111">
        <f>D32*E32*G32</f>
        <v>1254996</v>
      </c>
    </row>
    <row r="33" spans="2:15" ht="20" x14ac:dyDescent="0.2">
      <c r="B33" s="177" t="s">
        <v>192</v>
      </c>
      <c r="C33" s="21"/>
      <c r="D33" s="111"/>
      <c r="E33" s="21"/>
      <c r="F33" s="154"/>
      <c r="G33" s="154"/>
      <c r="H33" s="154"/>
      <c r="I33" s="154"/>
      <c r="J33" s="154"/>
      <c r="K33" s="154"/>
      <c r="L33" s="111"/>
      <c r="M33" s="111"/>
    </row>
    <row r="34" spans="2:15" x14ac:dyDescent="0.2">
      <c r="B34" s="178" t="s">
        <v>93</v>
      </c>
      <c r="C34" s="21">
        <v>0</v>
      </c>
      <c r="D34" s="111">
        <f>Inputs!C74</f>
        <v>39277</v>
      </c>
      <c r="E34" s="21">
        <v>1</v>
      </c>
      <c r="F34" s="154">
        <f>C34*E34</f>
        <v>0</v>
      </c>
      <c r="G34" s="272">
        <v>6</v>
      </c>
      <c r="H34" s="154">
        <f>G34*F34</f>
        <v>0</v>
      </c>
      <c r="I34" s="154">
        <f>H34*0.1</f>
        <v>0</v>
      </c>
      <c r="J34" s="154">
        <f>H34*0.05</f>
        <v>0</v>
      </c>
      <c r="K34" s="154">
        <f>SUM(H34:J34)</f>
        <v>0</v>
      </c>
      <c r="L34" s="111">
        <f>ROUND(H34*Inputs!$G$82+I34*Inputs!$G$84+J34*Inputs!$G$83,0)</f>
        <v>0</v>
      </c>
      <c r="M34" s="111">
        <f>D34*E34*G34</f>
        <v>235662</v>
      </c>
    </row>
    <row r="35" spans="2:15" x14ac:dyDescent="0.2">
      <c r="B35" s="178" t="s">
        <v>94</v>
      </c>
      <c r="C35" s="21">
        <v>0</v>
      </c>
      <c r="D35" s="111">
        <f>Inputs!D74</f>
        <v>98884</v>
      </c>
      <c r="E35" s="21">
        <v>1</v>
      </c>
      <c r="F35" s="154">
        <f>C35*E35</f>
        <v>0</v>
      </c>
      <c r="G35" s="272">
        <v>6</v>
      </c>
      <c r="H35" s="154">
        <f>G35*F35</f>
        <v>0</v>
      </c>
      <c r="I35" s="154">
        <f>H35*0.1</f>
        <v>0</v>
      </c>
      <c r="J35" s="154">
        <f>H35*0.05</f>
        <v>0</v>
      </c>
      <c r="K35" s="154">
        <f>SUM(H35:J35)</f>
        <v>0</v>
      </c>
      <c r="L35" s="111">
        <f>ROUND(H35*Inputs!$G$82+I35*Inputs!$G$84+J35*Inputs!$G$83,0)</f>
        <v>0</v>
      </c>
      <c r="M35" s="111">
        <f>D35*E35*G35</f>
        <v>593304</v>
      </c>
    </row>
    <row r="36" spans="2:15" ht="22.9" customHeight="1" x14ac:dyDescent="0.2">
      <c r="B36" s="177" t="s">
        <v>258</v>
      </c>
      <c r="C36" s="21"/>
      <c r="D36" s="111"/>
      <c r="E36" s="21"/>
      <c r="F36" s="154"/>
      <c r="G36" s="154"/>
      <c r="H36" s="154"/>
      <c r="I36" s="154"/>
      <c r="J36" s="154"/>
      <c r="K36" s="154"/>
      <c r="L36" s="111"/>
      <c r="M36" s="111"/>
    </row>
    <row r="37" spans="2:15" x14ac:dyDescent="0.2">
      <c r="B37" s="178" t="s">
        <v>93</v>
      </c>
      <c r="C37" s="21">
        <v>0</v>
      </c>
      <c r="D37" s="111">
        <f>Inputs!J13</f>
        <v>1457857.142857143</v>
      </c>
      <c r="E37" s="21">
        <v>1</v>
      </c>
      <c r="F37" s="154">
        <f>C37*E37</f>
        <v>0</v>
      </c>
      <c r="G37" s="154">
        <v>1</v>
      </c>
      <c r="H37" s="154">
        <f>G37*F37</f>
        <v>0</v>
      </c>
      <c r="I37" s="154">
        <f>H37*0.1</f>
        <v>0</v>
      </c>
      <c r="J37" s="154">
        <f>H37*0.05</f>
        <v>0</v>
      </c>
      <c r="K37" s="154">
        <f>SUM(H37:J37)</f>
        <v>0</v>
      </c>
      <c r="L37" s="111">
        <f>ROUND(H37*Inputs!$G$82+I37*Inputs!$G$84+J37*Inputs!$G$83,0)</f>
        <v>0</v>
      </c>
      <c r="M37" s="111">
        <f>D37*E37*G37</f>
        <v>1457857.142857143</v>
      </c>
    </row>
    <row r="38" spans="2:15" x14ac:dyDescent="0.2">
      <c r="B38" s="178" t="s">
        <v>94</v>
      </c>
      <c r="C38" s="21">
        <v>0</v>
      </c>
      <c r="D38" s="111">
        <f>Inputs!K13</f>
        <v>753714.28571428568</v>
      </c>
      <c r="E38" s="21">
        <v>1</v>
      </c>
      <c r="F38" s="154">
        <f>C38*E38</f>
        <v>0</v>
      </c>
      <c r="G38" s="154">
        <v>1</v>
      </c>
      <c r="H38" s="154">
        <f>G38*F38</f>
        <v>0</v>
      </c>
      <c r="I38" s="154">
        <f>H38*0.1</f>
        <v>0</v>
      </c>
      <c r="J38" s="154">
        <f>H38*0.05</f>
        <v>0</v>
      </c>
      <c r="K38" s="154">
        <f>SUM(H38:J38)</f>
        <v>0</v>
      </c>
      <c r="L38" s="111">
        <f>ROUND(H38*Inputs!$G$82+I38*Inputs!$G$84+J38*Inputs!$G$83,0)</f>
        <v>0</v>
      </c>
      <c r="M38" s="111">
        <f>D38*E38*G38</f>
        <v>753714.28571428568</v>
      </c>
    </row>
    <row r="39" spans="2:15" ht="30.65" customHeight="1" x14ac:dyDescent="0.2">
      <c r="B39" s="177" t="s">
        <v>259</v>
      </c>
      <c r="C39" s="21"/>
      <c r="D39" s="111"/>
      <c r="E39" s="21"/>
      <c r="F39" s="154"/>
      <c r="G39" s="154"/>
      <c r="H39" s="154"/>
      <c r="I39" s="154"/>
      <c r="J39" s="154"/>
      <c r="K39" s="154"/>
      <c r="L39" s="111"/>
      <c r="M39" s="111"/>
    </row>
    <row r="40" spans="2:15" x14ac:dyDescent="0.2">
      <c r="B40" s="178" t="s">
        <v>93</v>
      </c>
      <c r="C40" s="21">
        <v>0</v>
      </c>
      <c r="D40" s="111">
        <f>Inputs!N11</f>
        <v>23200</v>
      </c>
      <c r="E40" s="21">
        <v>1</v>
      </c>
      <c r="F40" s="154">
        <f>C40*E40</f>
        <v>0</v>
      </c>
      <c r="G40" s="154">
        <v>1</v>
      </c>
      <c r="H40" s="154">
        <f>G40*F40</f>
        <v>0</v>
      </c>
      <c r="I40" s="154">
        <f>H40*0.1</f>
        <v>0</v>
      </c>
      <c r="J40" s="154">
        <f>H40*0.05</f>
        <v>0</v>
      </c>
      <c r="K40" s="154">
        <f>SUM(H40:J40)</f>
        <v>0</v>
      </c>
      <c r="L40" s="111">
        <f>ROUND(H40*Inputs!$G$82+I40*Inputs!$G$84+J40*Inputs!$G$83,0)</f>
        <v>0</v>
      </c>
      <c r="M40" s="111">
        <f>D40*E40*G40</f>
        <v>23200</v>
      </c>
      <c r="O40" s="227"/>
    </row>
    <row r="41" spans="2:15" x14ac:dyDescent="0.2">
      <c r="B41" s="178" t="s">
        <v>94</v>
      </c>
      <c r="C41" s="21">
        <v>0</v>
      </c>
      <c r="D41" s="111">
        <f>Inputs!N12</f>
        <v>4900</v>
      </c>
      <c r="E41" s="21">
        <v>1</v>
      </c>
      <c r="F41" s="154">
        <f>C41*E41</f>
        <v>0</v>
      </c>
      <c r="G41" s="154">
        <v>1</v>
      </c>
      <c r="H41" s="154">
        <f>G41*F41</f>
        <v>0</v>
      </c>
      <c r="I41" s="154">
        <f>H41*0.1</f>
        <v>0</v>
      </c>
      <c r="J41" s="154">
        <f>H41*0.05</f>
        <v>0</v>
      </c>
      <c r="K41" s="154">
        <f>SUM(H41:J41)</f>
        <v>0</v>
      </c>
      <c r="L41" s="111">
        <f>ROUND(H41*Inputs!$G$82+I41*Inputs!$G$84+J41*Inputs!$G$83,0)</f>
        <v>0</v>
      </c>
      <c r="M41" s="111">
        <f>D41*E41*G41</f>
        <v>4900</v>
      </c>
    </row>
    <row r="42" spans="2:15" ht="22.15" customHeight="1" x14ac:dyDescent="0.2">
      <c r="B42" s="177" t="s">
        <v>260</v>
      </c>
      <c r="C42" s="21"/>
      <c r="D42" s="111"/>
      <c r="E42" s="21"/>
      <c r="F42" s="154"/>
      <c r="G42" s="154"/>
      <c r="H42" s="154"/>
      <c r="I42" s="154"/>
      <c r="J42" s="154"/>
      <c r="K42" s="154"/>
      <c r="L42" s="111"/>
      <c r="M42" s="111"/>
    </row>
    <row r="43" spans="2:15" x14ac:dyDescent="0.2">
      <c r="B43" s="178" t="s">
        <v>155</v>
      </c>
      <c r="C43" s="21">
        <v>0</v>
      </c>
      <c r="D43" s="111">
        <f>Inputs!N13</f>
        <v>38302</v>
      </c>
      <c r="E43" s="21">
        <v>1</v>
      </c>
      <c r="F43" s="154">
        <f>C43*E43</f>
        <v>0</v>
      </c>
      <c r="G43" s="154">
        <v>1</v>
      </c>
      <c r="H43" s="154">
        <f>G43*F43</f>
        <v>0</v>
      </c>
      <c r="I43" s="154">
        <f>H43*0.1</f>
        <v>0</v>
      </c>
      <c r="J43" s="154">
        <f>H43*0.05</f>
        <v>0</v>
      </c>
      <c r="K43" s="154">
        <f>SUM(H43:J43)</f>
        <v>0</v>
      </c>
      <c r="L43" s="111">
        <f>ROUND(H43*Inputs!$G$82+I43*Inputs!$G$84+J43*Inputs!$G$83,0)</f>
        <v>0</v>
      </c>
      <c r="M43" s="111">
        <f>D43*E43*G43</f>
        <v>38302</v>
      </c>
    </row>
    <row r="44" spans="2:15" ht="12" x14ac:dyDescent="0.2">
      <c r="B44" s="178" t="s">
        <v>261</v>
      </c>
      <c r="C44" s="21">
        <v>0</v>
      </c>
      <c r="D44" s="111">
        <f>Inputs!J14</f>
        <v>0</v>
      </c>
      <c r="E44" s="21">
        <v>1</v>
      </c>
      <c r="F44" s="154">
        <f>C44*E44</f>
        <v>0</v>
      </c>
      <c r="G44" s="154">
        <v>0</v>
      </c>
      <c r="H44" s="154">
        <f>G44*F44</f>
        <v>0</v>
      </c>
      <c r="I44" s="154">
        <f>H44*0.1</f>
        <v>0</v>
      </c>
      <c r="J44" s="154">
        <f>H44*0.05</f>
        <v>0</v>
      </c>
      <c r="K44" s="154">
        <f>SUM(H44:J44)</f>
        <v>0</v>
      </c>
      <c r="L44" s="111">
        <f>ROUND(H44*Inputs!$G$82+I44*Inputs!$G$84+J44*Inputs!$G$83,0)</f>
        <v>0</v>
      </c>
      <c r="M44" s="111">
        <f>D44*E44*G44</f>
        <v>0</v>
      </c>
    </row>
    <row r="45" spans="2:15" x14ac:dyDescent="0.2">
      <c r="B45" s="176" t="s">
        <v>62</v>
      </c>
      <c r="C45" s="21" t="s">
        <v>64</v>
      </c>
      <c r="D45" s="111"/>
      <c r="E45" s="21"/>
      <c r="F45" s="154"/>
      <c r="G45" s="154"/>
      <c r="H45" s="154"/>
      <c r="I45" s="154"/>
      <c r="J45" s="154"/>
      <c r="K45" s="154"/>
      <c r="L45" s="111"/>
      <c r="M45" s="111"/>
    </row>
    <row r="46" spans="2:15" x14ac:dyDescent="0.2">
      <c r="B46" s="176" t="s">
        <v>63</v>
      </c>
      <c r="C46" s="21" t="s">
        <v>65</v>
      </c>
      <c r="D46" s="111"/>
      <c r="E46" s="21"/>
      <c r="F46" s="154"/>
      <c r="G46" s="154"/>
      <c r="H46" s="154"/>
      <c r="I46" s="154"/>
      <c r="J46" s="154"/>
      <c r="K46" s="154"/>
      <c r="L46" s="111"/>
      <c r="M46" s="111"/>
    </row>
    <row r="47" spans="2:15" x14ac:dyDescent="0.2">
      <c r="B47" s="176" t="s">
        <v>66</v>
      </c>
      <c r="C47" s="21"/>
      <c r="D47" s="111"/>
      <c r="E47" s="21"/>
      <c r="F47" s="154"/>
      <c r="G47" s="154"/>
      <c r="H47" s="154"/>
      <c r="I47" s="154"/>
      <c r="J47" s="154"/>
      <c r="K47" s="154"/>
      <c r="L47" s="111"/>
      <c r="M47" s="111"/>
    </row>
    <row r="48" spans="2:15" x14ac:dyDescent="0.2">
      <c r="B48" s="177" t="s">
        <v>157</v>
      </c>
      <c r="C48" s="21"/>
      <c r="D48" s="111"/>
      <c r="E48" s="21"/>
      <c r="F48" s="154"/>
      <c r="G48" s="154"/>
      <c r="H48" s="154"/>
      <c r="I48" s="154"/>
      <c r="J48" s="154"/>
      <c r="K48" s="154"/>
      <c r="L48" s="111"/>
      <c r="M48" s="111"/>
    </row>
    <row r="49" spans="2:13" x14ac:dyDescent="0.2">
      <c r="B49" s="178" t="s">
        <v>108</v>
      </c>
      <c r="C49" s="21">
        <v>5</v>
      </c>
      <c r="D49" s="111">
        <v>0</v>
      </c>
      <c r="E49" s="21">
        <v>1</v>
      </c>
      <c r="F49" s="154">
        <f t="shared" ref="F49:F56" si="0">C49*E49</f>
        <v>5</v>
      </c>
      <c r="G49" s="272">
        <f>G10</f>
        <v>6</v>
      </c>
      <c r="H49" s="154">
        <f t="shared" ref="H49:H56" si="1">G49*F49</f>
        <v>30</v>
      </c>
      <c r="I49" s="154">
        <f t="shared" ref="I49:I56" si="2">H49*0.1</f>
        <v>3</v>
      </c>
      <c r="J49" s="154">
        <f t="shared" ref="J49:J56" si="3">H49*0.05</f>
        <v>1.5</v>
      </c>
      <c r="K49" s="154">
        <f t="shared" ref="K49:K56" si="4">SUM(H49:J49)</f>
        <v>34.5</v>
      </c>
      <c r="L49" s="111">
        <f>ROUND(H49*Inputs!$G$82+I49*Inputs!$G$84+J49*Inputs!$G$83,0)</f>
        <v>3415</v>
      </c>
      <c r="M49" s="111">
        <f t="shared" ref="M49:M56" si="5">D49*E49*G49</f>
        <v>0</v>
      </c>
    </row>
    <row r="50" spans="2:13" x14ac:dyDescent="0.2">
      <c r="B50" s="178" t="s">
        <v>109</v>
      </c>
      <c r="C50" s="21">
        <v>15</v>
      </c>
      <c r="D50" s="111">
        <v>0</v>
      </c>
      <c r="E50" s="21">
        <v>1</v>
      </c>
      <c r="F50" s="154">
        <f t="shared" si="0"/>
        <v>15</v>
      </c>
      <c r="G50" s="272">
        <f>G13</f>
        <v>6</v>
      </c>
      <c r="H50" s="154">
        <f t="shared" si="1"/>
        <v>90</v>
      </c>
      <c r="I50" s="154">
        <f t="shared" si="2"/>
        <v>9</v>
      </c>
      <c r="J50" s="154">
        <f t="shared" si="3"/>
        <v>4.5</v>
      </c>
      <c r="K50" s="154">
        <f t="shared" si="4"/>
        <v>103.5</v>
      </c>
      <c r="L50" s="111">
        <f>ROUND(H50*Inputs!$G$82+I50*Inputs!$G$84+J50*Inputs!$G$83,0)</f>
        <v>10244</v>
      </c>
      <c r="M50" s="111">
        <f t="shared" si="5"/>
        <v>0</v>
      </c>
    </row>
    <row r="51" spans="2:13" x14ac:dyDescent="0.2">
      <c r="B51" s="178" t="s">
        <v>223</v>
      </c>
      <c r="C51" s="21">
        <v>10</v>
      </c>
      <c r="D51" s="111">
        <v>0</v>
      </c>
      <c r="E51" s="21">
        <v>1</v>
      </c>
      <c r="F51" s="154">
        <f t="shared" si="0"/>
        <v>10</v>
      </c>
      <c r="G51" s="272">
        <f>G34</f>
        <v>6</v>
      </c>
      <c r="H51" s="154">
        <f t="shared" si="1"/>
        <v>60</v>
      </c>
      <c r="I51" s="154">
        <f t="shared" si="2"/>
        <v>6</v>
      </c>
      <c r="J51" s="154">
        <f t="shared" si="3"/>
        <v>3</v>
      </c>
      <c r="K51" s="154">
        <f t="shared" ref="K51:K55" si="6">SUM(H51:J51)</f>
        <v>69</v>
      </c>
      <c r="L51" s="111">
        <f>ROUND(H51*Inputs!$G$82+I51*Inputs!$G$84+J51*Inputs!$G$83,0)</f>
        <v>6829</v>
      </c>
      <c r="M51" s="111">
        <f t="shared" si="5"/>
        <v>0</v>
      </c>
    </row>
    <row r="52" spans="2:13" x14ac:dyDescent="0.2">
      <c r="B52" s="178" t="s">
        <v>224</v>
      </c>
      <c r="C52" s="21">
        <v>10</v>
      </c>
      <c r="D52" s="111">
        <v>0</v>
      </c>
      <c r="E52" s="21">
        <v>1</v>
      </c>
      <c r="F52" s="154">
        <f t="shared" si="0"/>
        <v>10</v>
      </c>
      <c r="G52" s="272">
        <v>6</v>
      </c>
      <c r="H52" s="154">
        <f t="shared" si="1"/>
        <v>60</v>
      </c>
      <c r="I52" s="154">
        <f t="shared" si="2"/>
        <v>6</v>
      </c>
      <c r="J52" s="154">
        <f t="shared" si="3"/>
        <v>3</v>
      </c>
      <c r="K52" s="154">
        <f t="shared" si="6"/>
        <v>69</v>
      </c>
      <c r="L52" s="111">
        <f>ROUND(H52*Inputs!$G$82+I52*Inputs!$G$84+J52*Inputs!$G$83,0)</f>
        <v>6829</v>
      </c>
      <c r="M52" s="111">
        <f t="shared" si="5"/>
        <v>0</v>
      </c>
    </row>
    <row r="53" spans="2:13" x14ac:dyDescent="0.2">
      <c r="B53" s="178" t="s">
        <v>225</v>
      </c>
      <c r="C53" s="21">
        <v>10</v>
      </c>
      <c r="D53" s="111">
        <v>0</v>
      </c>
      <c r="E53" s="21">
        <v>1</v>
      </c>
      <c r="F53" s="154">
        <f t="shared" si="0"/>
        <v>10</v>
      </c>
      <c r="G53" s="272">
        <f>G25</f>
        <v>6</v>
      </c>
      <c r="H53" s="154">
        <f t="shared" si="1"/>
        <v>60</v>
      </c>
      <c r="I53" s="154">
        <f t="shared" si="2"/>
        <v>6</v>
      </c>
      <c r="J53" s="154">
        <f t="shared" si="3"/>
        <v>3</v>
      </c>
      <c r="K53" s="154">
        <f t="shared" si="6"/>
        <v>69</v>
      </c>
      <c r="L53" s="111">
        <f>ROUND(H53*Inputs!$G$82+I53*Inputs!$G$84+J53*Inputs!$G$83,0)</f>
        <v>6829</v>
      </c>
      <c r="M53" s="111">
        <f t="shared" si="5"/>
        <v>0</v>
      </c>
    </row>
    <row r="54" spans="2:13" ht="12" x14ac:dyDescent="0.2">
      <c r="B54" s="178" t="s">
        <v>262</v>
      </c>
      <c r="C54" s="21">
        <v>5</v>
      </c>
      <c r="D54" s="111">
        <v>0</v>
      </c>
      <c r="E54" s="21">
        <v>1</v>
      </c>
      <c r="F54" s="154">
        <f t="shared" si="0"/>
        <v>5</v>
      </c>
      <c r="G54" s="272">
        <f>G19</f>
        <v>1</v>
      </c>
      <c r="H54" s="154">
        <f t="shared" si="1"/>
        <v>5</v>
      </c>
      <c r="I54" s="154">
        <f t="shared" si="2"/>
        <v>0.5</v>
      </c>
      <c r="J54" s="154">
        <f t="shared" si="3"/>
        <v>0.25</v>
      </c>
      <c r="K54" s="154">
        <f t="shared" si="6"/>
        <v>5.75</v>
      </c>
      <c r="L54" s="111">
        <f>ROUND(H54*Inputs!$G$82+I54*Inputs!$G$84+J54*Inputs!$G$83,0)</f>
        <v>569</v>
      </c>
      <c r="M54" s="111">
        <f t="shared" si="5"/>
        <v>0</v>
      </c>
    </row>
    <row r="55" spans="2:13" ht="22" x14ac:dyDescent="0.2">
      <c r="B55" s="236" t="s">
        <v>263</v>
      </c>
      <c r="C55" s="21">
        <v>4</v>
      </c>
      <c r="D55" s="111">
        <v>0</v>
      </c>
      <c r="E55" s="21">
        <v>1</v>
      </c>
      <c r="F55" s="154">
        <f t="shared" si="0"/>
        <v>4</v>
      </c>
      <c r="G55" s="154">
        <f>Inputs!J7</f>
        <v>1</v>
      </c>
      <c r="H55" s="154">
        <f t="shared" si="1"/>
        <v>4</v>
      </c>
      <c r="I55" s="154">
        <f t="shared" si="2"/>
        <v>0.4</v>
      </c>
      <c r="J55" s="154">
        <f t="shared" si="3"/>
        <v>0.2</v>
      </c>
      <c r="K55" s="154">
        <f t="shared" si="6"/>
        <v>4.6000000000000005</v>
      </c>
      <c r="L55" s="111">
        <f>ROUND(H55*Inputs!$G$82+I55*Inputs!$G$84+J55*Inputs!$G$83,0)</f>
        <v>455</v>
      </c>
      <c r="M55" s="111">
        <f t="shared" si="5"/>
        <v>0</v>
      </c>
    </row>
    <row r="56" spans="2:13" ht="22" x14ac:dyDescent="0.2">
      <c r="B56" s="236" t="s">
        <v>264</v>
      </c>
      <c r="C56" s="237">
        <v>4</v>
      </c>
      <c r="D56" s="238">
        <v>0</v>
      </c>
      <c r="E56" s="237">
        <v>1</v>
      </c>
      <c r="F56" s="239">
        <f t="shared" si="0"/>
        <v>4</v>
      </c>
      <c r="G56" s="239">
        <f>G37</f>
        <v>1</v>
      </c>
      <c r="H56" s="239">
        <f t="shared" si="1"/>
        <v>4</v>
      </c>
      <c r="I56" s="239">
        <f t="shared" si="2"/>
        <v>0.4</v>
      </c>
      <c r="J56" s="239">
        <f t="shared" si="3"/>
        <v>0.2</v>
      </c>
      <c r="K56" s="239">
        <f t="shared" si="4"/>
        <v>4.6000000000000005</v>
      </c>
      <c r="L56" s="238">
        <f>ROUND(H56*Inputs!$G$82+I56*Inputs!$G$84+J56*Inputs!$G$83,0)</f>
        <v>455</v>
      </c>
      <c r="M56" s="238">
        <f t="shared" si="5"/>
        <v>0</v>
      </c>
    </row>
    <row r="57" spans="2:13" x14ac:dyDescent="0.2">
      <c r="B57" s="179" t="s">
        <v>158</v>
      </c>
      <c r="C57" s="21"/>
      <c r="D57" s="111"/>
      <c r="E57" s="21"/>
      <c r="F57" s="154"/>
      <c r="G57" s="154"/>
      <c r="H57" s="154"/>
      <c r="I57" s="154"/>
      <c r="J57" s="154"/>
      <c r="K57" s="154"/>
      <c r="L57" s="111"/>
      <c r="M57" s="111"/>
    </row>
    <row r="58" spans="2:13" x14ac:dyDescent="0.2">
      <c r="B58" s="178" t="s">
        <v>108</v>
      </c>
      <c r="C58" s="21">
        <v>5</v>
      </c>
      <c r="D58" s="111">
        <v>0</v>
      </c>
      <c r="E58" s="21">
        <v>2</v>
      </c>
      <c r="F58" s="154">
        <f t="shared" ref="F58:F68" si="7">C58*E58</f>
        <v>10</v>
      </c>
      <c r="G58" s="272">
        <f>G10</f>
        <v>6</v>
      </c>
      <c r="H58" s="154">
        <f t="shared" ref="H58:H68" si="8">G58*F58</f>
        <v>60</v>
      </c>
      <c r="I58" s="154">
        <f t="shared" ref="I58:I68" si="9">H58*0.1</f>
        <v>6</v>
      </c>
      <c r="J58" s="154">
        <f t="shared" ref="J58:J68" si="10">H58*0.05</f>
        <v>3</v>
      </c>
      <c r="K58" s="154">
        <f t="shared" ref="K58:K68" si="11">SUM(H58:J58)</f>
        <v>69</v>
      </c>
      <c r="L58" s="111">
        <f>ROUND(H58*Inputs!$G$82+I58*Inputs!$G$84+J58*Inputs!$G$83,0)</f>
        <v>6829</v>
      </c>
      <c r="M58" s="111">
        <f t="shared" ref="M58:M68" si="12">D58*E58*G58</f>
        <v>0</v>
      </c>
    </row>
    <row r="59" spans="2:13" x14ac:dyDescent="0.2">
      <c r="B59" s="178" t="s">
        <v>109</v>
      </c>
      <c r="C59" s="21">
        <v>10</v>
      </c>
      <c r="D59" s="111">
        <v>0</v>
      </c>
      <c r="E59" s="21">
        <v>2</v>
      </c>
      <c r="F59" s="154">
        <f t="shared" si="7"/>
        <v>20</v>
      </c>
      <c r="G59" s="272">
        <f>G13</f>
        <v>6</v>
      </c>
      <c r="H59" s="154">
        <f t="shared" si="8"/>
        <v>120</v>
      </c>
      <c r="I59" s="154">
        <f t="shared" si="9"/>
        <v>12</v>
      </c>
      <c r="J59" s="154">
        <f t="shared" si="10"/>
        <v>6</v>
      </c>
      <c r="K59" s="154">
        <f t="shared" si="11"/>
        <v>138</v>
      </c>
      <c r="L59" s="111">
        <f>ROUND(H59*Inputs!$G$82+I59*Inputs!$G$84+J59*Inputs!$G$83,0)</f>
        <v>13659</v>
      </c>
      <c r="M59" s="111">
        <f t="shared" si="12"/>
        <v>0</v>
      </c>
    </row>
    <row r="60" spans="2:13" x14ac:dyDescent="0.2">
      <c r="B60" s="178" t="s">
        <v>230</v>
      </c>
      <c r="C60" s="21">
        <v>4</v>
      </c>
      <c r="D60" s="111">
        <v>0</v>
      </c>
      <c r="E60" s="21">
        <v>2</v>
      </c>
      <c r="F60" s="154">
        <f t="shared" si="7"/>
        <v>8</v>
      </c>
      <c r="G60" s="272">
        <f>G25</f>
        <v>6</v>
      </c>
      <c r="H60" s="154">
        <f t="shared" si="8"/>
        <v>48</v>
      </c>
      <c r="I60" s="154">
        <f t="shared" si="9"/>
        <v>4.8000000000000007</v>
      </c>
      <c r="J60" s="154">
        <f t="shared" si="10"/>
        <v>2.4000000000000004</v>
      </c>
      <c r="K60" s="154">
        <f t="shared" si="11"/>
        <v>55.199999999999996</v>
      </c>
      <c r="L60" s="111">
        <f>ROUND(H60*Inputs!$G$82+I60*Inputs!$G$84+J60*Inputs!$G$83,0)</f>
        <v>5464</v>
      </c>
      <c r="M60" s="111">
        <f t="shared" si="12"/>
        <v>0</v>
      </c>
    </row>
    <row r="61" spans="2:13" x14ac:dyDescent="0.2">
      <c r="B61" s="178" t="s">
        <v>241</v>
      </c>
      <c r="C61" s="21">
        <v>4</v>
      </c>
      <c r="D61" s="111">
        <v>0</v>
      </c>
      <c r="E61" s="21">
        <v>2</v>
      </c>
      <c r="F61" s="154">
        <f t="shared" ref="F61" si="13">C61*E61</f>
        <v>8</v>
      </c>
      <c r="G61" s="272">
        <f>G26</f>
        <v>6</v>
      </c>
      <c r="H61" s="154">
        <f t="shared" ref="H61" si="14">G61*F61</f>
        <v>48</v>
      </c>
      <c r="I61" s="154">
        <f t="shared" ref="I61" si="15">H61*0.1</f>
        <v>4.8000000000000007</v>
      </c>
      <c r="J61" s="154">
        <f t="shared" ref="J61" si="16">H61*0.05</f>
        <v>2.4000000000000004</v>
      </c>
      <c r="K61" s="154">
        <f t="shared" ref="K61" si="17">SUM(H61:J61)</f>
        <v>55.199999999999996</v>
      </c>
      <c r="L61" s="111">
        <f>ROUND(H61*Inputs!$G$82+I61*Inputs!$G$84+J61*Inputs!$G$83,0)</f>
        <v>5464</v>
      </c>
      <c r="M61" s="111">
        <f t="shared" ref="M61" si="18">D61*E61*G61</f>
        <v>0</v>
      </c>
    </row>
    <row r="62" spans="2:13" ht="12" x14ac:dyDescent="0.2">
      <c r="B62" s="178" t="s">
        <v>265</v>
      </c>
      <c r="C62" s="21">
        <v>4</v>
      </c>
      <c r="D62" s="111">
        <v>0</v>
      </c>
      <c r="E62" s="21">
        <v>2</v>
      </c>
      <c r="F62" s="154">
        <f t="shared" si="7"/>
        <v>8</v>
      </c>
      <c r="G62" s="272">
        <v>0</v>
      </c>
      <c r="H62" s="154">
        <f t="shared" si="8"/>
        <v>0</v>
      </c>
      <c r="I62" s="154">
        <f t="shared" si="9"/>
        <v>0</v>
      </c>
      <c r="J62" s="154">
        <f t="shared" si="10"/>
        <v>0</v>
      </c>
      <c r="K62" s="154">
        <f t="shared" si="11"/>
        <v>0</v>
      </c>
      <c r="L62" s="111">
        <f>ROUND(H62*Inputs!$G$82+I62*Inputs!$G$84+J62*Inputs!$G$83,0)</f>
        <v>0</v>
      </c>
      <c r="M62" s="111">
        <f t="shared" si="12"/>
        <v>0</v>
      </c>
    </row>
    <row r="63" spans="2:13" x14ac:dyDescent="0.2">
      <c r="B63" s="178" t="s">
        <v>232</v>
      </c>
      <c r="C63" s="21">
        <v>3</v>
      </c>
      <c r="D63" s="111">
        <v>0</v>
      </c>
      <c r="E63" s="21">
        <v>2</v>
      </c>
      <c r="F63" s="154">
        <f t="shared" si="7"/>
        <v>6</v>
      </c>
      <c r="G63" s="272">
        <f>G17</f>
        <v>6</v>
      </c>
      <c r="H63" s="154">
        <f t="shared" si="8"/>
        <v>36</v>
      </c>
      <c r="I63" s="154">
        <f t="shared" si="9"/>
        <v>3.6</v>
      </c>
      <c r="J63" s="154">
        <f t="shared" si="10"/>
        <v>1.8</v>
      </c>
      <c r="K63" s="154">
        <f t="shared" si="11"/>
        <v>41.4</v>
      </c>
      <c r="L63" s="111">
        <f>ROUND(H63*Inputs!$G$82+I63*Inputs!$G$84+J63*Inputs!$G$83,0)</f>
        <v>4098</v>
      </c>
      <c r="M63" s="111">
        <f t="shared" si="12"/>
        <v>0</v>
      </c>
    </row>
    <row r="64" spans="2:13" ht="20" x14ac:dyDescent="0.2">
      <c r="B64" s="236" t="s">
        <v>233</v>
      </c>
      <c r="C64" s="21">
        <v>3</v>
      </c>
      <c r="D64" s="111">
        <v>0</v>
      </c>
      <c r="E64" s="21">
        <v>2</v>
      </c>
      <c r="F64" s="154">
        <f t="shared" si="7"/>
        <v>6</v>
      </c>
      <c r="G64" s="272">
        <f>G25</f>
        <v>6</v>
      </c>
      <c r="H64" s="154">
        <f t="shared" si="8"/>
        <v>36</v>
      </c>
      <c r="I64" s="154">
        <f t="shared" si="9"/>
        <v>3.6</v>
      </c>
      <c r="J64" s="154">
        <f t="shared" si="10"/>
        <v>1.8</v>
      </c>
      <c r="K64" s="154">
        <f t="shared" si="11"/>
        <v>41.4</v>
      </c>
      <c r="L64" s="111">
        <f>ROUND(H64*Inputs!$G$82+I64*Inputs!$G$84+J64*Inputs!$G$83,0)</f>
        <v>4098</v>
      </c>
      <c r="M64" s="111">
        <f t="shared" si="12"/>
        <v>0</v>
      </c>
    </row>
    <row r="65" spans="2:13" ht="12" x14ac:dyDescent="0.2">
      <c r="B65" s="236" t="s">
        <v>266</v>
      </c>
      <c r="C65" s="21">
        <v>3</v>
      </c>
      <c r="D65" s="111">
        <v>0</v>
      </c>
      <c r="E65" s="21">
        <v>2</v>
      </c>
      <c r="F65" s="154">
        <f t="shared" si="7"/>
        <v>6</v>
      </c>
      <c r="G65" s="154">
        <f>G19</f>
        <v>1</v>
      </c>
      <c r="H65" s="154">
        <f t="shared" si="8"/>
        <v>6</v>
      </c>
      <c r="I65" s="154">
        <f t="shared" si="9"/>
        <v>0.60000000000000009</v>
      </c>
      <c r="J65" s="154">
        <f t="shared" si="10"/>
        <v>0.30000000000000004</v>
      </c>
      <c r="K65" s="154">
        <f t="shared" si="11"/>
        <v>6.8999999999999995</v>
      </c>
      <c r="L65" s="111">
        <f>ROUND(H65*Inputs!$G$82+I65*Inputs!$G$84+J65*Inputs!$G$83,0)</f>
        <v>683</v>
      </c>
      <c r="M65" s="111">
        <f t="shared" si="12"/>
        <v>0</v>
      </c>
    </row>
    <row r="66" spans="2:13" x14ac:dyDescent="0.2">
      <c r="B66" s="236" t="s">
        <v>235</v>
      </c>
      <c r="C66" s="21">
        <v>4</v>
      </c>
      <c r="D66" s="111">
        <v>0</v>
      </c>
      <c r="E66" s="21">
        <v>2</v>
      </c>
      <c r="F66" s="154">
        <f t="shared" si="7"/>
        <v>8</v>
      </c>
      <c r="G66" s="272">
        <f>G22</f>
        <v>6</v>
      </c>
      <c r="H66" s="154">
        <f t="shared" si="8"/>
        <v>48</v>
      </c>
      <c r="I66" s="154">
        <f t="shared" si="9"/>
        <v>4.8000000000000007</v>
      </c>
      <c r="J66" s="154">
        <f t="shared" si="10"/>
        <v>2.4000000000000004</v>
      </c>
      <c r="K66" s="154">
        <f t="shared" si="11"/>
        <v>55.199999999999996</v>
      </c>
      <c r="L66" s="111">
        <f>ROUND(H66*Inputs!$G$82+I66*Inputs!$G$84+J66*Inputs!$G$83,0)</f>
        <v>5464</v>
      </c>
      <c r="M66" s="111">
        <f t="shared" si="12"/>
        <v>0</v>
      </c>
    </row>
    <row r="67" spans="2:13" ht="21" customHeight="1" x14ac:dyDescent="0.2">
      <c r="B67" s="236" t="s">
        <v>267</v>
      </c>
      <c r="C67" s="237">
        <v>4</v>
      </c>
      <c r="D67" s="238">
        <v>0</v>
      </c>
      <c r="E67" s="237">
        <v>2</v>
      </c>
      <c r="F67" s="239">
        <f t="shared" si="7"/>
        <v>8</v>
      </c>
      <c r="G67" s="239">
        <f>G37</f>
        <v>1</v>
      </c>
      <c r="H67" s="239">
        <f t="shared" si="8"/>
        <v>8</v>
      </c>
      <c r="I67" s="239">
        <f t="shared" si="9"/>
        <v>0.8</v>
      </c>
      <c r="J67" s="239">
        <f t="shared" si="10"/>
        <v>0.4</v>
      </c>
      <c r="K67" s="239">
        <f t="shared" si="11"/>
        <v>9.2000000000000011</v>
      </c>
      <c r="L67" s="238">
        <f>ROUND(H67*Inputs!$G$82+I67*Inputs!$G$84+J67*Inputs!$G$83,0)</f>
        <v>911</v>
      </c>
      <c r="M67" s="238">
        <f t="shared" si="12"/>
        <v>0</v>
      </c>
    </row>
    <row r="68" spans="2:13" ht="22" x14ac:dyDescent="0.2">
      <c r="B68" s="236" t="s">
        <v>268</v>
      </c>
      <c r="C68" s="21">
        <v>4</v>
      </c>
      <c r="D68" s="111">
        <v>0</v>
      </c>
      <c r="E68" s="21">
        <v>2</v>
      </c>
      <c r="F68" s="154">
        <f t="shared" si="7"/>
        <v>8</v>
      </c>
      <c r="G68" s="154">
        <f>G55</f>
        <v>1</v>
      </c>
      <c r="H68" s="154">
        <f t="shared" si="8"/>
        <v>8</v>
      </c>
      <c r="I68" s="154">
        <f t="shared" si="9"/>
        <v>0.8</v>
      </c>
      <c r="J68" s="154">
        <f t="shared" si="10"/>
        <v>0.4</v>
      </c>
      <c r="K68" s="154">
        <f t="shared" si="11"/>
        <v>9.2000000000000011</v>
      </c>
      <c r="L68" s="111">
        <f>ROUND(H68*Inputs!$G$82+I68*Inputs!$G$84+J68*Inputs!$G$83,0)</f>
        <v>911</v>
      </c>
      <c r="M68" s="111">
        <f t="shared" si="12"/>
        <v>0</v>
      </c>
    </row>
    <row r="69" spans="2:13" ht="12" x14ac:dyDescent="0.2">
      <c r="B69" s="179" t="s">
        <v>269</v>
      </c>
      <c r="C69" s="21"/>
      <c r="D69" s="111"/>
      <c r="E69" s="21"/>
      <c r="F69" s="154"/>
      <c r="G69" s="154"/>
      <c r="H69" s="154"/>
      <c r="I69" s="154"/>
      <c r="J69" s="154"/>
      <c r="K69" s="154"/>
      <c r="L69" s="111"/>
      <c r="M69" s="111"/>
    </row>
    <row r="70" spans="2:13" x14ac:dyDescent="0.2">
      <c r="B70" s="236" t="s">
        <v>198</v>
      </c>
      <c r="C70" s="21">
        <v>10</v>
      </c>
      <c r="D70" s="111">
        <v>0</v>
      </c>
      <c r="E70" s="21">
        <v>1</v>
      </c>
      <c r="F70" s="154">
        <f t="shared" ref="F70:F72" si="19">C70*E70</f>
        <v>10</v>
      </c>
      <c r="G70" s="154">
        <f>G31</f>
        <v>12</v>
      </c>
      <c r="H70" s="154">
        <f t="shared" ref="H70:H72" si="20">G70*F70</f>
        <v>120</v>
      </c>
      <c r="I70" s="154">
        <f t="shared" ref="I70:I72" si="21">H70*0.1</f>
        <v>12</v>
      </c>
      <c r="J70" s="154">
        <f t="shared" ref="J70:J72" si="22">H70*0.05</f>
        <v>6</v>
      </c>
      <c r="K70" s="154">
        <f t="shared" ref="K70:K72" si="23">SUM(H70:J70)</f>
        <v>138</v>
      </c>
      <c r="L70" s="111">
        <f>ROUND(H70*Inputs!$G$82+I70*Inputs!$G$84+J70*Inputs!$G$83,0)</f>
        <v>13659</v>
      </c>
      <c r="M70" s="111">
        <f t="shared" ref="M70:M72" si="24">D70*E70*G70</f>
        <v>0</v>
      </c>
    </row>
    <row r="71" spans="2:13" x14ac:dyDescent="0.2">
      <c r="B71" s="236" t="s">
        <v>199</v>
      </c>
      <c r="C71" s="21">
        <v>10</v>
      </c>
      <c r="D71" s="111">
        <v>0</v>
      </c>
      <c r="E71" s="21">
        <v>1</v>
      </c>
      <c r="F71" s="154">
        <f t="shared" si="19"/>
        <v>10</v>
      </c>
      <c r="G71" s="154">
        <v>0</v>
      </c>
      <c r="H71" s="154">
        <f t="shared" si="20"/>
        <v>0</v>
      </c>
      <c r="I71" s="154">
        <f t="shared" si="21"/>
        <v>0</v>
      </c>
      <c r="J71" s="154">
        <f t="shared" si="22"/>
        <v>0</v>
      </c>
      <c r="K71" s="154">
        <f t="shared" si="23"/>
        <v>0</v>
      </c>
      <c r="L71" s="111">
        <f>ROUND(H71*Inputs!$G$82+I71*Inputs!$G$84+J71*Inputs!$G$83,0)</f>
        <v>0</v>
      </c>
      <c r="M71" s="111">
        <f t="shared" si="24"/>
        <v>0</v>
      </c>
    </row>
    <row r="72" spans="2:13" x14ac:dyDescent="0.2">
      <c r="B72" s="236" t="s">
        <v>200</v>
      </c>
      <c r="C72" s="21">
        <v>4</v>
      </c>
      <c r="D72" s="111">
        <v>0</v>
      </c>
      <c r="E72" s="21">
        <v>4</v>
      </c>
      <c r="F72" s="154">
        <f t="shared" si="19"/>
        <v>16</v>
      </c>
      <c r="G72" s="154">
        <f>G31</f>
        <v>12</v>
      </c>
      <c r="H72" s="154">
        <f t="shared" si="20"/>
        <v>192</v>
      </c>
      <c r="I72" s="154">
        <f t="shared" si="21"/>
        <v>19.200000000000003</v>
      </c>
      <c r="J72" s="154">
        <f t="shared" si="22"/>
        <v>9.6000000000000014</v>
      </c>
      <c r="K72" s="154">
        <f t="shared" si="23"/>
        <v>220.79999999999998</v>
      </c>
      <c r="L72" s="111">
        <f>ROUND(H72*Inputs!$G$82+I72*Inputs!$G$84+J72*Inputs!$G$83,0)</f>
        <v>21854</v>
      </c>
      <c r="M72" s="111">
        <f t="shared" si="24"/>
        <v>0</v>
      </c>
    </row>
    <row r="73" spans="2:13" x14ac:dyDescent="0.2">
      <c r="B73" s="180" t="s">
        <v>67</v>
      </c>
      <c r="C73" s="21"/>
      <c r="D73" s="111"/>
      <c r="E73" s="21"/>
      <c r="F73" s="21"/>
      <c r="G73" s="21"/>
      <c r="H73" s="221">
        <f>SUM(H7:H72)</f>
        <v>1043</v>
      </c>
      <c r="I73" s="221">
        <f>SUM(I7:I72)</f>
        <v>104.29999999999998</v>
      </c>
      <c r="J73" s="221">
        <f>SUM(J7:J72)</f>
        <v>52.149999999999991</v>
      </c>
      <c r="K73" s="221">
        <f>SUM(K7:K72)</f>
        <v>1199.4500000000003</v>
      </c>
      <c r="L73" s="222">
        <f>SUM(L7:L72)</f>
        <v>118719</v>
      </c>
      <c r="M73" s="222">
        <f>SUM(M7:M72)-M10-M13-M16-M40-M43-M19-M22-M25-M28-M31-M34-M37</f>
        <v>3396370.2857142854</v>
      </c>
    </row>
    <row r="74" spans="2:13" x14ac:dyDescent="0.2">
      <c r="B74" s="175" t="s">
        <v>53</v>
      </c>
      <c r="C74" s="21"/>
      <c r="D74" s="111"/>
      <c r="E74" s="21"/>
      <c r="F74" s="21"/>
      <c r="G74" s="21"/>
      <c r="H74" s="21"/>
      <c r="I74" s="22"/>
      <c r="J74" s="22"/>
      <c r="K74" s="22"/>
      <c r="L74" s="111"/>
      <c r="M74" s="111"/>
    </row>
    <row r="75" spans="2:13" x14ac:dyDescent="0.2">
      <c r="B75" s="176" t="s">
        <v>54</v>
      </c>
      <c r="C75" s="21" t="s">
        <v>95</v>
      </c>
      <c r="D75" s="111"/>
      <c r="E75" s="21"/>
      <c r="F75" s="21"/>
      <c r="G75" s="21"/>
      <c r="H75" s="21"/>
      <c r="I75" s="22"/>
      <c r="J75" s="22"/>
      <c r="K75" s="22"/>
      <c r="L75" s="111"/>
      <c r="M75" s="111"/>
    </row>
    <row r="76" spans="2:13" x14ac:dyDescent="0.2">
      <c r="B76" s="176" t="s">
        <v>91</v>
      </c>
      <c r="C76" s="153" t="s">
        <v>58</v>
      </c>
      <c r="D76" s="111"/>
      <c r="E76" s="21"/>
      <c r="F76" s="21"/>
      <c r="G76" s="21"/>
      <c r="H76" s="21"/>
      <c r="I76" s="22"/>
      <c r="J76" s="22"/>
      <c r="K76" s="22"/>
      <c r="L76" s="111"/>
      <c r="M76" s="111"/>
    </row>
    <row r="77" spans="2:13" x14ac:dyDescent="0.2">
      <c r="B77" s="176" t="s">
        <v>55</v>
      </c>
      <c r="C77" s="153" t="s">
        <v>58</v>
      </c>
      <c r="D77" s="111"/>
      <c r="E77" s="21"/>
      <c r="F77" s="21"/>
      <c r="G77" s="21"/>
      <c r="H77" s="21"/>
      <c r="I77" s="22"/>
      <c r="J77" s="22"/>
      <c r="K77" s="22"/>
      <c r="L77" s="111"/>
      <c r="M77" s="111"/>
    </row>
    <row r="78" spans="2:13" x14ac:dyDescent="0.2">
      <c r="B78" s="176" t="s">
        <v>68</v>
      </c>
      <c r="C78" s="21"/>
      <c r="D78" s="111"/>
      <c r="E78" s="21"/>
      <c r="F78" s="21"/>
      <c r="G78" s="21"/>
      <c r="H78" s="21"/>
      <c r="I78" s="22"/>
      <c r="J78" s="22"/>
      <c r="K78" s="22"/>
      <c r="L78" s="111"/>
      <c r="M78" s="111"/>
    </row>
    <row r="79" spans="2:13" x14ac:dyDescent="0.2">
      <c r="B79" s="179" t="s">
        <v>237</v>
      </c>
      <c r="C79" s="21">
        <v>0.4</v>
      </c>
      <c r="D79" s="111">
        <v>0</v>
      </c>
      <c r="E79" s="21">
        <v>365</v>
      </c>
      <c r="F79" s="21">
        <f t="shared" ref="F79:F81" si="25">C79*E79</f>
        <v>146</v>
      </c>
      <c r="G79" s="273">
        <f>G58</f>
        <v>6</v>
      </c>
      <c r="H79" s="154">
        <f t="shared" ref="H79:H95" si="26">G79*F79</f>
        <v>876</v>
      </c>
      <c r="I79" s="154">
        <f t="shared" ref="I79:I95" si="27">H79*0.1</f>
        <v>87.600000000000009</v>
      </c>
      <c r="J79" s="154">
        <f t="shared" ref="J79:J95" si="28">H79*0.05</f>
        <v>43.800000000000004</v>
      </c>
      <c r="K79" s="156">
        <f t="shared" ref="K79:K95" si="29">SUM(H79:J79)</f>
        <v>1007.4</v>
      </c>
      <c r="L79" s="111">
        <f>ROUND(H79*Inputs!$G$82+I79*Inputs!$G$84+J79*Inputs!$G$83,0)</f>
        <v>99710</v>
      </c>
      <c r="M79" s="111">
        <f t="shared" ref="M79:M95" si="30">D79*E79*G79</f>
        <v>0</v>
      </c>
    </row>
    <row r="80" spans="2:13" x14ac:dyDescent="0.2">
      <c r="B80" s="179" t="s">
        <v>238</v>
      </c>
      <c r="C80" s="21">
        <v>10</v>
      </c>
      <c r="D80" s="111">
        <v>0</v>
      </c>
      <c r="E80" s="21">
        <v>1</v>
      </c>
      <c r="F80" s="21">
        <f t="shared" si="25"/>
        <v>10</v>
      </c>
      <c r="G80" s="273">
        <f>G59</f>
        <v>6</v>
      </c>
      <c r="H80" s="154">
        <f t="shared" si="26"/>
        <v>60</v>
      </c>
      <c r="I80" s="154">
        <f t="shared" si="27"/>
        <v>6</v>
      </c>
      <c r="J80" s="154">
        <f t="shared" si="28"/>
        <v>3</v>
      </c>
      <c r="K80" s="156">
        <f t="shared" si="29"/>
        <v>69</v>
      </c>
      <c r="L80" s="111">
        <f>ROUND(H80*Inputs!$G$82+I80*Inputs!$G$84+J80*Inputs!$G$83,0)</f>
        <v>6829</v>
      </c>
      <c r="M80" s="111">
        <f t="shared" si="30"/>
        <v>0</v>
      </c>
    </row>
    <row r="81" spans="2:13" ht="12" x14ac:dyDescent="0.2">
      <c r="B81" s="179" t="s">
        <v>270</v>
      </c>
      <c r="C81" s="21">
        <v>0</v>
      </c>
      <c r="D81" s="111">
        <v>0</v>
      </c>
      <c r="E81" s="21">
        <v>1</v>
      </c>
      <c r="F81" s="21">
        <f t="shared" si="25"/>
        <v>0</v>
      </c>
      <c r="G81" s="22">
        <v>0</v>
      </c>
      <c r="H81" s="154">
        <f t="shared" si="26"/>
        <v>0</v>
      </c>
      <c r="I81" s="154">
        <f t="shared" si="27"/>
        <v>0</v>
      </c>
      <c r="J81" s="154">
        <f t="shared" si="28"/>
        <v>0</v>
      </c>
      <c r="K81" s="156">
        <f t="shared" si="29"/>
        <v>0</v>
      </c>
      <c r="L81" s="111">
        <f>ROUND(H81*Inputs!$G$82+I81*Inputs!$G$84+J81*Inputs!$G$83,0)</f>
        <v>0</v>
      </c>
      <c r="M81" s="111">
        <f t="shared" si="30"/>
        <v>0</v>
      </c>
    </row>
    <row r="82" spans="2:13" x14ac:dyDescent="0.2">
      <c r="B82" s="179" t="s">
        <v>239</v>
      </c>
      <c r="C82" s="21">
        <v>1</v>
      </c>
      <c r="D82" s="111">
        <v>0</v>
      </c>
      <c r="E82" s="21">
        <v>1</v>
      </c>
      <c r="F82" s="21">
        <f>C82*E82</f>
        <v>1</v>
      </c>
      <c r="G82" s="273">
        <f>G60</f>
        <v>6</v>
      </c>
      <c r="H82" s="154">
        <f t="shared" si="26"/>
        <v>6</v>
      </c>
      <c r="I82" s="154">
        <f t="shared" si="27"/>
        <v>0.60000000000000009</v>
      </c>
      <c r="J82" s="154">
        <f t="shared" si="28"/>
        <v>0.30000000000000004</v>
      </c>
      <c r="K82" s="156">
        <f t="shared" si="29"/>
        <v>6.8999999999999995</v>
      </c>
      <c r="L82" s="111">
        <f>ROUND(H82*Inputs!$G$82+I82*Inputs!$G$84+J82*Inputs!$G$83,0)</f>
        <v>683</v>
      </c>
      <c r="M82" s="111">
        <f t="shared" si="30"/>
        <v>0</v>
      </c>
    </row>
    <row r="83" spans="2:13" x14ac:dyDescent="0.2">
      <c r="B83" s="179" t="s">
        <v>243</v>
      </c>
      <c r="C83" s="21">
        <v>1</v>
      </c>
      <c r="D83" s="111">
        <v>0</v>
      </c>
      <c r="E83" s="21">
        <v>1</v>
      </c>
      <c r="F83" s="21">
        <f>C83*E83</f>
        <v>1</v>
      </c>
      <c r="G83" s="273">
        <f>G61</f>
        <v>6</v>
      </c>
      <c r="H83" s="154">
        <f t="shared" ref="H83" si="31">G83*F83</f>
        <v>6</v>
      </c>
      <c r="I83" s="154">
        <f t="shared" ref="I83" si="32">H83*0.1</f>
        <v>0.60000000000000009</v>
      </c>
      <c r="J83" s="154">
        <f t="shared" ref="J83" si="33">H83*0.05</f>
        <v>0.30000000000000004</v>
      </c>
      <c r="K83" s="156">
        <f t="shared" ref="K83" si="34">SUM(H83:J83)</f>
        <v>6.8999999999999995</v>
      </c>
      <c r="L83" s="111">
        <f>ROUND(H83*Inputs!$G$82+I83*Inputs!$G$84+J83*Inputs!$G$83,0)</f>
        <v>683</v>
      </c>
      <c r="M83" s="111">
        <f t="shared" ref="M83" si="35">D83*E83*G83</f>
        <v>0</v>
      </c>
    </row>
    <row r="84" spans="2:13" ht="12" x14ac:dyDescent="0.2">
      <c r="B84" s="179" t="s">
        <v>271</v>
      </c>
      <c r="C84" s="21">
        <v>0</v>
      </c>
      <c r="D84" s="111">
        <v>0</v>
      </c>
      <c r="E84" s="21">
        <v>1</v>
      </c>
      <c r="F84" s="21">
        <f t="shared" ref="F84:F95" si="36">C84*E84</f>
        <v>0</v>
      </c>
      <c r="G84" s="22">
        <f>G62</f>
        <v>0</v>
      </c>
      <c r="H84" s="154">
        <f t="shared" si="26"/>
        <v>0</v>
      </c>
      <c r="I84" s="154">
        <f t="shared" si="27"/>
        <v>0</v>
      </c>
      <c r="J84" s="154">
        <f t="shared" si="28"/>
        <v>0</v>
      </c>
      <c r="K84" s="156">
        <f t="shared" si="29"/>
        <v>0</v>
      </c>
      <c r="L84" s="111">
        <f>ROUND(H84*Inputs!$G$82+I84*Inputs!$G$84+J84*Inputs!$G$83,0)</f>
        <v>0</v>
      </c>
      <c r="M84" s="111">
        <f t="shared" si="30"/>
        <v>0</v>
      </c>
    </row>
    <row r="85" spans="2:13" ht="24" x14ac:dyDescent="0.2">
      <c r="B85" s="177" t="s">
        <v>275</v>
      </c>
      <c r="C85" s="237">
        <v>2</v>
      </c>
      <c r="D85" s="238">
        <v>0</v>
      </c>
      <c r="E85" s="237">
        <v>1</v>
      </c>
      <c r="F85" s="237">
        <f t="shared" si="36"/>
        <v>2</v>
      </c>
      <c r="G85" s="240">
        <f>G56</f>
        <v>1</v>
      </c>
      <c r="H85" s="239">
        <f t="shared" si="26"/>
        <v>2</v>
      </c>
      <c r="I85" s="239">
        <f t="shared" si="27"/>
        <v>0.2</v>
      </c>
      <c r="J85" s="239">
        <f t="shared" si="28"/>
        <v>0.1</v>
      </c>
      <c r="K85" s="156">
        <f t="shared" si="29"/>
        <v>2.3000000000000003</v>
      </c>
      <c r="L85" s="238">
        <f>ROUND(H85*Inputs!$G$82+I85*Inputs!$G$84+J85*Inputs!$G$83,0)</f>
        <v>228</v>
      </c>
      <c r="M85" s="238">
        <f t="shared" si="30"/>
        <v>0</v>
      </c>
    </row>
    <row r="86" spans="2:13" x14ac:dyDescent="0.2">
      <c r="B86" s="179" t="s">
        <v>201</v>
      </c>
      <c r="C86" s="21">
        <v>75</v>
      </c>
      <c r="D86" s="111">
        <v>0</v>
      </c>
      <c r="E86" s="21">
        <v>1</v>
      </c>
      <c r="F86" s="21">
        <f t="shared" si="36"/>
        <v>75</v>
      </c>
      <c r="G86" s="273">
        <f>G58</f>
        <v>6</v>
      </c>
      <c r="H86" s="154">
        <f t="shared" si="26"/>
        <v>450</v>
      </c>
      <c r="I86" s="154">
        <f t="shared" si="27"/>
        <v>45</v>
      </c>
      <c r="J86" s="154">
        <f t="shared" si="28"/>
        <v>22.5</v>
      </c>
      <c r="K86" s="156">
        <f t="shared" si="29"/>
        <v>517.5</v>
      </c>
      <c r="L86" s="111">
        <f>ROUND(H86*Inputs!$G$82+I86*Inputs!$G$84+J86*Inputs!$G$83,0)</f>
        <v>51221</v>
      </c>
      <c r="M86" s="111">
        <f t="shared" si="30"/>
        <v>0</v>
      </c>
    </row>
    <row r="87" spans="2:13" x14ac:dyDescent="0.2">
      <c r="B87" s="179" t="s">
        <v>202</v>
      </c>
      <c r="C87" s="21">
        <v>3</v>
      </c>
      <c r="D87" s="111">
        <v>0</v>
      </c>
      <c r="E87" s="21">
        <v>1</v>
      </c>
      <c r="F87" s="154">
        <f t="shared" si="36"/>
        <v>3</v>
      </c>
      <c r="G87" s="273">
        <f>G64</f>
        <v>6</v>
      </c>
      <c r="H87" s="154">
        <f t="shared" si="26"/>
        <v>18</v>
      </c>
      <c r="I87" s="154">
        <f t="shared" si="27"/>
        <v>1.8</v>
      </c>
      <c r="J87" s="154">
        <f t="shared" si="28"/>
        <v>0.9</v>
      </c>
      <c r="K87" s="154">
        <f t="shared" si="29"/>
        <v>20.7</v>
      </c>
      <c r="L87" s="111">
        <f>ROUND(H87*Inputs!$G$82+I87*Inputs!$G$84+J87*Inputs!$G$83,0)</f>
        <v>2049</v>
      </c>
      <c r="M87" s="111">
        <f t="shared" si="30"/>
        <v>0</v>
      </c>
    </row>
    <row r="88" spans="2:13" ht="22" x14ac:dyDescent="0.2">
      <c r="B88" s="177" t="s">
        <v>272</v>
      </c>
      <c r="C88" s="21">
        <v>1</v>
      </c>
      <c r="D88" s="111">
        <v>0</v>
      </c>
      <c r="E88" s="21">
        <v>1</v>
      </c>
      <c r="F88" s="154">
        <f t="shared" si="36"/>
        <v>1</v>
      </c>
      <c r="G88" s="22">
        <f>G65</f>
        <v>1</v>
      </c>
      <c r="H88" s="154">
        <f t="shared" si="26"/>
        <v>1</v>
      </c>
      <c r="I88" s="154">
        <f t="shared" si="27"/>
        <v>0.1</v>
      </c>
      <c r="J88" s="154">
        <f t="shared" si="28"/>
        <v>0.05</v>
      </c>
      <c r="K88" s="154">
        <f t="shared" si="29"/>
        <v>1.1500000000000001</v>
      </c>
      <c r="L88" s="111">
        <f>ROUND(H88*Inputs!$G$82+I88*Inputs!$G$84+J88*Inputs!$G$83,0)</f>
        <v>114</v>
      </c>
      <c r="M88" s="111">
        <f t="shared" si="30"/>
        <v>0</v>
      </c>
    </row>
    <row r="89" spans="2:13" ht="22" x14ac:dyDescent="0.2">
      <c r="B89" s="177" t="s">
        <v>273</v>
      </c>
      <c r="C89" s="21">
        <v>1</v>
      </c>
      <c r="D89" s="111">
        <v>0</v>
      </c>
      <c r="E89" s="21">
        <v>1</v>
      </c>
      <c r="F89" s="154">
        <f t="shared" si="36"/>
        <v>1</v>
      </c>
      <c r="G89" s="22">
        <f>G28</f>
        <v>1</v>
      </c>
      <c r="H89" s="154">
        <f t="shared" si="26"/>
        <v>1</v>
      </c>
      <c r="I89" s="154">
        <f t="shared" si="27"/>
        <v>0.1</v>
      </c>
      <c r="J89" s="154">
        <f t="shared" si="28"/>
        <v>0.05</v>
      </c>
      <c r="K89" s="154">
        <f t="shared" si="29"/>
        <v>1.1500000000000001</v>
      </c>
      <c r="L89" s="111">
        <f>ROUND(H89*Inputs!$G$82+I89*Inputs!$G$84+J89*Inputs!$G$83,0)</f>
        <v>114</v>
      </c>
      <c r="M89" s="111">
        <f t="shared" si="30"/>
        <v>0</v>
      </c>
    </row>
    <row r="90" spans="2:13" ht="22" x14ac:dyDescent="0.2">
      <c r="B90" s="177" t="s">
        <v>274</v>
      </c>
      <c r="C90" s="21"/>
      <c r="D90" s="111"/>
      <c r="E90" s="21"/>
      <c r="F90" s="154"/>
      <c r="G90" s="22"/>
      <c r="H90" s="154"/>
      <c r="I90" s="154"/>
      <c r="J90" s="154"/>
      <c r="K90" s="154"/>
      <c r="L90" s="111"/>
      <c r="M90" s="111"/>
    </row>
    <row r="91" spans="2:13" x14ac:dyDescent="0.2">
      <c r="B91" s="179" t="s">
        <v>240</v>
      </c>
      <c r="C91" s="21">
        <v>2</v>
      </c>
      <c r="D91" s="111">
        <v>0</v>
      </c>
      <c r="E91" s="21">
        <v>1</v>
      </c>
      <c r="F91" s="154">
        <f t="shared" si="36"/>
        <v>2</v>
      </c>
      <c r="G91" s="273">
        <f>G66</f>
        <v>6</v>
      </c>
      <c r="H91" s="154">
        <f t="shared" si="26"/>
        <v>12</v>
      </c>
      <c r="I91" s="154">
        <f t="shared" si="27"/>
        <v>1.2000000000000002</v>
      </c>
      <c r="J91" s="154">
        <f t="shared" si="28"/>
        <v>0.60000000000000009</v>
      </c>
      <c r="K91" s="154">
        <f t="shared" si="29"/>
        <v>13.799999999999999</v>
      </c>
      <c r="L91" s="111">
        <f>ROUND(H91*Inputs!$G$82+I91*Inputs!$G$84+J91*Inputs!$G$83,0)</f>
        <v>1366</v>
      </c>
      <c r="M91" s="111">
        <f t="shared" si="30"/>
        <v>0</v>
      </c>
    </row>
    <row r="92" spans="2:13" ht="21.65" customHeight="1" x14ac:dyDescent="0.2">
      <c r="B92" s="177" t="s">
        <v>276</v>
      </c>
      <c r="C92" s="21">
        <v>10</v>
      </c>
      <c r="D92" s="111">
        <v>0</v>
      </c>
      <c r="E92" s="21">
        <v>1</v>
      </c>
      <c r="F92" s="21">
        <f t="shared" si="36"/>
        <v>10</v>
      </c>
      <c r="G92" s="22">
        <f>G68</f>
        <v>1</v>
      </c>
      <c r="H92" s="154">
        <f t="shared" si="26"/>
        <v>10</v>
      </c>
      <c r="I92" s="154">
        <f t="shared" si="27"/>
        <v>1</v>
      </c>
      <c r="J92" s="154">
        <f t="shared" si="28"/>
        <v>0.5</v>
      </c>
      <c r="K92" s="156">
        <f t="shared" si="29"/>
        <v>11.5</v>
      </c>
      <c r="L92" s="111">
        <f>ROUND(H92*Inputs!$G$82+I92*Inputs!$G$84+J92*Inputs!$G$83,0)</f>
        <v>1138</v>
      </c>
      <c r="M92" s="111">
        <f t="shared" si="30"/>
        <v>0</v>
      </c>
    </row>
    <row r="93" spans="2:13" ht="22" x14ac:dyDescent="0.2">
      <c r="B93" s="177" t="s">
        <v>277</v>
      </c>
      <c r="C93" s="21">
        <v>0.4</v>
      </c>
      <c r="D93" s="111">
        <v>0</v>
      </c>
      <c r="E93" s="21">
        <v>365</v>
      </c>
      <c r="F93" s="21">
        <f t="shared" si="36"/>
        <v>146</v>
      </c>
      <c r="G93" s="22">
        <f>G72</f>
        <v>12</v>
      </c>
      <c r="H93" s="154">
        <f t="shared" si="26"/>
        <v>1752</v>
      </c>
      <c r="I93" s="154">
        <f t="shared" si="27"/>
        <v>175.20000000000002</v>
      </c>
      <c r="J93" s="154">
        <f t="shared" si="28"/>
        <v>87.600000000000009</v>
      </c>
      <c r="K93" s="156">
        <f t="shared" si="29"/>
        <v>2014.8</v>
      </c>
      <c r="L93" s="111">
        <f>ROUND(H93*Inputs!$G$82+I93*Inputs!$G$84+J93*Inputs!$G$83,0)</f>
        <v>199420</v>
      </c>
      <c r="M93" s="111">
        <f t="shared" si="30"/>
        <v>0</v>
      </c>
    </row>
    <row r="94" spans="2:13" ht="12" x14ac:dyDescent="0.2">
      <c r="B94" s="179" t="s">
        <v>278</v>
      </c>
      <c r="C94" s="21">
        <v>1</v>
      </c>
      <c r="D94" s="111">
        <v>0</v>
      </c>
      <c r="E94" s="21">
        <v>365</v>
      </c>
      <c r="F94" s="21">
        <f t="shared" si="36"/>
        <v>365</v>
      </c>
      <c r="G94" s="22">
        <f>G72</f>
        <v>12</v>
      </c>
      <c r="H94" s="154">
        <f t="shared" si="26"/>
        <v>4380</v>
      </c>
      <c r="I94" s="154">
        <f t="shared" si="27"/>
        <v>438</v>
      </c>
      <c r="J94" s="154">
        <f t="shared" si="28"/>
        <v>219</v>
      </c>
      <c r="K94" s="156">
        <f t="shared" si="29"/>
        <v>5037</v>
      </c>
      <c r="L94" s="111">
        <f>ROUND(H94*Inputs!$G$82+I94*Inputs!$G$84+J94*Inputs!$G$83,0)</f>
        <v>498549</v>
      </c>
      <c r="M94" s="111">
        <f t="shared" si="30"/>
        <v>0</v>
      </c>
    </row>
    <row r="95" spans="2:13" ht="12" x14ac:dyDescent="0.2">
      <c r="B95" s="176" t="s">
        <v>279</v>
      </c>
      <c r="C95" s="21">
        <v>16</v>
      </c>
      <c r="D95" s="111">
        <v>0</v>
      </c>
      <c r="E95" s="21">
        <v>1</v>
      </c>
      <c r="F95" s="21">
        <f t="shared" si="36"/>
        <v>16</v>
      </c>
      <c r="G95" s="273">
        <f>G7</f>
        <v>0</v>
      </c>
      <c r="H95" s="154">
        <f t="shared" si="26"/>
        <v>0</v>
      </c>
      <c r="I95" s="154">
        <f t="shared" si="27"/>
        <v>0</v>
      </c>
      <c r="J95" s="154">
        <f t="shared" si="28"/>
        <v>0</v>
      </c>
      <c r="K95" s="156">
        <f t="shared" si="29"/>
        <v>0</v>
      </c>
      <c r="L95" s="111">
        <f>ROUND(H95*Inputs!$G$82+I95*Inputs!$G$84+J95*Inputs!$G$83,0)</f>
        <v>0</v>
      </c>
      <c r="M95" s="111">
        <f t="shared" si="30"/>
        <v>0</v>
      </c>
    </row>
    <row r="96" spans="2:13" x14ac:dyDescent="0.2">
      <c r="B96" s="176" t="s">
        <v>69</v>
      </c>
      <c r="C96" s="21" t="s">
        <v>58</v>
      </c>
      <c r="D96" s="111"/>
      <c r="E96" s="21"/>
      <c r="F96" s="21"/>
      <c r="G96" s="21"/>
      <c r="H96" s="154"/>
      <c r="I96" s="154"/>
      <c r="J96" s="154"/>
      <c r="K96" s="154"/>
      <c r="L96" s="111"/>
      <c r="M96" s="111"/>
    </row>
    <row r="97" spans="2:15" ht="10.5" thickBot="1" x14ac:dyDescent="0.25">
      <c r="B97" s="188" t="s">
        <v>56</v>
      </c>
      <c r="C97" s="189"/>
      <c r="D97" s="189"/>
      <c r="E97" s="189"/>
      <c r="F97" s="189"/>
      <c r="G97" s="189"/>
      <c r="H97" s="223">
        <f t="shared" ref="H97:M97" si="37">SUM(H79:H95)</f>
        <v>7574</v>
      </c>
      <c r="I97" s="223">
        <f t="shared" si="37"/>
        <v>757.4</v>
      </c>
      <c r="J97" s="223">
        <f t="shared" si="37"/>
        <v>378.7</v>
      </c>
      <c r="K97" s="223">
        <f t="shared" si="37"/>
        <v>8710.1</v>
      </c>
      <c r="L97" s="224">
        <f t="shared" si="37"/>
        <v>862104</v>
      </c>
      <c r="M97" s="224">
        <f t="shared" si="37"/>
        <v>0</v>
      </c>
    </row>
    <row r="98" spans="2:15" s="151" customFormat="1" ht="13.5" customHeight="1" thickTop="1" x14ac:dyDescent="0.35">
      <c r="B98" s="186" t="s">
        <v>31</v>
      </c>
      <c r="C98" s="187"/>
      <c r="D98" s="187"/>
      <c r="E98" s="187"/>
      <c r="F98" s="187"/>
      <c r="G98" s="187"/>
      <c r="H98" s="225">
        <f t="shared" ref="H98:M98" si="38">H97+H73</f>
        <v>8617</v>
      </c>
      <c r="I98" s="225">
        <f t="shared" si="38"/>
        <v>861.69999999999993</v>
      </c>
      <c r="J98" s="225">
        <f t="shared" si="38"/>
        <v>430.84999999999997</v>
      </c>
      <c r="K98" s="225">
        <f t="shared" si="38"/>
        <v>9909.5500000000011</v>
      </c>
      <c r="L98" s="226">
        <f t="shared" si="38"/>
        <v>980823</v>
      </c>
      <c r="M98" s="226">
        <f t="shared" si="38"/>
        <v>3396370.2857142854</v>
      </c>
      <c r="O98" s="152"/>
    </row>
    <row r="99" spans="2:15" ht="7.5" customHeight="1" x14ac:dyDescent="0.2">
      <c r="B99" s="181"/>
      <c r="G99" s="11"/>
      <c r="H99" s="9"/>
      <c r="I99" s="10"/>
      <c r="J99" s="10"/>
      <c r="K99" s="12"/>
      <c r="L99" s="12"/>
      <c r="M99" s="12"/>
    </row>
    <row r="100" spans="2:15" x14ac:dyDescent="0.2">
      <c r="B100" s="181"/>
      <c r="G100" s="9"/>
      <c r="H100" s="9"/>
      <c r="I100" s="10"/>
      <c r="J100" s="144" t="s">
        <v>51</v>
      </c>
      <c r="K100" s="144" t="s">
        <v>70</v>
      </c>
      <c r="L100" s="155" t="s">
        <v>71</v>
      </c>
      <c r="M100" s="155" t="s">
        <v>43</v>
      </c>
    </row>
    <row r="101" spans="2:15" x14ac:dyDescent="0.2">
      <c r="B101" s="181"/>
      <c r="G101" s="145" t="s">
        <v>72</v>
      </c>
      <c r="H101" s="146"/>
      <c r="I101" s="150"/>
      <c r="J101" s="144">
        <f>H98+I98+J98</f>
        <v>9909.5500000000011</v>
      </c>
      <c r="K101" s="117">
        <f>L98</f>
        <v>980823</v>
      </c>
      <c r="L101" s="117">
        <f>M98</f>
        <v>3396370.2857142854</v>
      </c>
      <c r="M101" s="117">
        <f>L101+K101</f>
        <v>4377193.2857142854</v>
      </c>
    </row>
    <row r="102" spans="2:15" ht="7.5" customHeight="1" x14ac:dyDescent="0.2">
      <c r="B102" s="181"/>
      <c r="G102" s="11"/>
      <c r="H102" s="9"/>
      <c r="I102" s="10"/>
      <c r="J102" s="10"/>
      <c r="K102" s="12"/>
      <c r="L102" s="12"/>
      <c r="M102" s="12"/>
    </row>
    <row r="103" spans="2:15" x14ac:dyDescent="0.2">
      <c r="B103" s="181"/>
      <c r="G103" s="145" t="s">
        <v>73</v>
      </c>
      <c r="H103" s="146"/>
      <c r="I103" s="147"/>
      <c r="J103" s="147"/>
      <c r="K103" s="148"/>
      <c r="L103" s="149"/>
      <c r="M103" s="117">
        <f>L7++M10+M13+M16+M40+M43</f>
        <v>2425346</v>
      </c>
    </row>
    <row r="104" spans="2:15" x14ac:dyDescent="0.2">
      <c r="B104" s="182"/>
      <c r="C104" s="183"/>
      <c r="D104" s="183"/>
      <c r="E104" s="183"/>
      <c r="F104" s="183"/>
      <c r="G104" s="145" t="s">
        <v>74</v>
      </c>
      <c r="H104" s="184"/>
      <c r="I104" s="184"/>
      <c r="J104" s="184"/>
      <c r="K104" s="148"/>
      <c r="L104" s="185"/>
      <c r="M104" s="117">
        <f>M98</f>
        <v>3396370.2857142854</v>
      </c>
    </row>
    <row r="105" spans="2:15" ht="8.25" customHeight="1" x14ac:dyDescent="0.2"/>
    <row r="106" spans="2:15" x14ac:dyDescent="0.2">
      <c r="B106" s="17" t="s">
        <v>86</v>
      </c>
      <c r="L106" s="23"/>
    </row>
    <row r="107" spans="2:15" ht="21.65" customHeight="1" x14ac:dyDescent="0.2">
      <c r="B107" s="298" t="s">
        <v>296</v>
      </c>
      <c r="C107" s="298"/>
      <c r="D107" s="298"/>
      <c r="E107" s="298"/>
      <c r="F107" s="298"/>
      <c r="G107" s="298"/>
      <c r="H107" s="298"/>
      <c r="I107" s="298"/>
      <c r="J107" s="298"/>
      <c r="K107" s="298"/>
      <c r="L107" s="298"/>
      <c r="M107" s="298"/>
    </row>
    <row r="108" spans="2:15" ht="42" customHeight="1" x14ac:dyDescent="0.2">
      <c r="B108" s="298" t="s">
        <v>280</v>
      </c>
      <c r="C108" s="298"/>
      <c r="D108" s="298"/>
      <c r="E108" s="298"/>
      <c r="F108" s="298"/>
      <c r="G108" s="298"/>
      <c r="H108" s="298"/>
      <c r="I108" s="298"/>
      <c r="J108" s="298"/>
      <c r="K108" s="298"/>
      <c r="L108" s="298"/>
      <c r="M108" s="298"/>
    </row>
    <row r="109" spans="2:15" ht="12.65" customHeight="1" x14ac:dyDescent="0.2">
      <c r="B109" s="298" t="s">
        <v>281</v>
      </c>
      <c r="C109" s="298"/>
      <c r="D109" s="298"/>
      <c r="E109" s="298"/>
      <c r="F109" s="298"/>
      <c r="G109" s="298"/>
      <c r="H109" s="298"/>
      <c r="I109" s="298"/>
      <c r="J109" s="298"/>
      <c r="K109" s="298"/>
      <c r="L109" s="298"/>
      <c r="M109" s="298"/>
    </row>
    <row r="110" spans="2:15" ht="10.15" customHeight="1" x14ac:dyDescent="0.2">
      <c r="B110" s="300" t="s">
        <v>282</v>
      </c>
      <c r="C110" s="300"/>
      <c r="D110" s="300"/>
      <c r="E110" s="300"/>
      <c r="F110" s="300"/>
      <c r="G110" s="300"/>
      <c r="H110" s="300"/>
      <c r="I110" s="300"/>
      <c r="J110" s="300"/>
      <c r="K110" s="300"/>
      <c r="L110" s="300"/>
      <c r="M110" s="300"/>
    </row>
    <row r="111" spans="2:15" ht="10.15" customHeight="1" x14ac:dyDescent="0.2">
      <c r="B111" s="298" t="s">
        <v>297</v>
      </c>
      <c r="C111" s="298"/>
      <c r="D111" s="298"/>
      <c r="E111" s="298"/>
      <c r="F111" s="298"/>
      <c r="G111" s="298"/>
      <c r="H111" s="298"/>
      <c r="I111" s="298"/>
      <c r="J111" s="298"/>
      <c r="K111" s="298"/>
      <c r="L111" s="298"/>
      <c r="M111" s="298"/>
    </row>
    <row r="112" spans="2:15" ht="10.15" customHeight="1" x14ac:dyDescent="0.2">
      <c r="B112" s="298" t="s">
        <v>298</v>
      </c>
      <c r="C112" s="298"/>
      <c r="D112" s="298"/>
      <c r="E112" s="298"/>
      <c r="F112" s="298"/>
      <c r="G112" s="298"/>
      <c r="H112" s="298"/>
      <c r="I112" s="298"/>
      <c r="J112" s="298"/>
      <c r="K112" s="298"/>
      <c r="L112" s="298"/>
      <c r="M112" s="298"/>
    </row>
    <row r="113" spans="2:13" ht="10.15" customHeight="1" x14ac:dyDescent="0.2">
      <c r="B113" s="298" t="s">
        <v>299</v>
      </c>
      <c r="C113" s="298"/>
      <c r="D113" s="298"/>
      <c r="E113" s="298"/>
      <c r="F113" s="298"/>
      <c r="G113" s="298"/>
      <c r="H113" s="298"/>
      <c r="I113" s="298"/>
      <c r="J113" s="298"/>
      <c r="K113" s="298"/>
      <c r="L113" s="298"/>
      <c r="M113" s="298"/>
    </row>
    <row r="114" spans="2:13" ht="13.15" customHeight="1" x14ac:dyDescent="0.2">
      <c r="B114" s="298" t="s">
        <v>300</v>
      </c>
      <c r="C114" s="298"/>
      <c r="D114" s="298"/>
      <c r="E114" s="298"/>
      <c r="F114" s="298"/>
      <c r="G114" s="298"/>
      <c r="H114" s="298"/>
      <c r="I114" s="298"/>
      <c r="J114" s="298"/>
      <c r="K114" s="298"/>
      <c r="L114" s="298"/>
      <c r="M114" s="298"/>
    </row>
    <row r="115" spans="2:13" ht="11.25" customHeight="1" x14ac:dyDescent="0.2">
      <c r="B115" s="298" t="s">
        <v>283</v>
      </c>
      <c r="C115" s="298"/>
      <c r="D115" s="298"/>
      <c r="E115" s="298"/>
      <c r="F115" s="298"/>
      <c r="G115" s="298"/>
      <c r="H115" s="298"/>
      <c r="I115" s="298"/>
      <c r="J115" s="298"/>
      <c r="K115" s="298"/>
      <c r="L115" s="298"/>
      <c r="M115" s="298"/>
    </row>
    <row r="116" spans="2:13" ht="10.15" customHeight="1" x14ac:dyDescent="0.2">
      <c r="B116" s="300" t="s">
        <v>284</v>
      </c>
      <c r="C116" s="300"/>
      <c r="D116" s="300"/>
      <c r="E116" s="300"/>
      <c r="F116" s="300"/>
      <c r="G116" s="300"/>
      <c r="H116" s="300"/>
      <c r="I116" s="300"/>
      <c r="J116" s="300"/>
      <c r="K116" s="300"/>
      <c r="L116" s="300"/>
      <c r="M116" s="300"/>
    </row>
    <row r="117" spans="2:13" ht="10.15" customHeight="1" x14ac:dyDescent="0.2">
      <c r="B117" s="301" t="s">
        <v>285</v>
      </c>
      <c r="C117" s="301"/>
      <c r="D117" s="301"/>
      <c r="E117" s="301"/>
      <c r="F117" s="301"/>
      <c r="G117" s="301"/>
      <c r="H117" s="301"/>
      <c r="I117" s="301"/>
      <c r="J117" s="301"/>
      <c r="K117" s="301"/>
      <c r="L117" s="301"/>
      <c r="M117" s="301"/>
    </row>
  </sheetData>
  <sheetProtection algorithmName="SHA-512" hashValue="6QZlhDn4EoHOTxarh6lJTyqgK43ReVjybfVj9nFfFhpbdb9hwqsl8IP0LX+o9j2k24/hiDLeo+sQies8PfC0qA==" saltValue="YgPX2UUGBnKq6xA66B9JVA==" spinCount="100000" sheet="1" objects="1" scenarios="1"/>
  <mergeCells count="12">
    <mergeCell ref="B113:M113"/>
    <mergeCell ref="B114:M114"/>
    <mergeCell ref="B115:M115"/>
    <mergeCell ref="B116:M116"/>
    <mergeCell ref="B117:M117"/>
    <mergeCell ref="B112:M112"/>
    <mergeCell ref="B2:M2"/>
    <mergeCell ref="B108:M108"/>
    <mergeCell ref="B109:M109"/>
    <mergeCell ref="B110:M110"/>
    <mergeCell ref="B111:M111"/>
    <mergeCell ref="B107:M107"/>
  </mergeCells>
  <printOptions horizontalCentered="1"/>
  <pageMargins left="0.5" right="0.5" top="0.5" bottom="0.5" header="0.3" footer="0.3"/>
  <pageSetup scale="86" fitToHeight="2" orientation="landscape" r:id="rId1"/>
  <rowBreaks count="1" manualBreakCount="1">
    <brk id="73"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F358-B715-49F7-B91D-243200139FE5}">
  <sheetPr>
    <tabColor rgb="FF7030A0"/>
  </sheetPr>
  <dimension ref="B2:O117"/>
  <sheetViews>
    <sheetView zoomScaleNormal="100" zoomScaleSheetLayoutView="80" workbookViewId="0">
      <pane ySplit="3" topLeftCell="A66" activePane="bottomLeft" state="frozen"/>
      <selection activeCell="Q53" sqref="Q53"/>
      <selection pane="bottomLeft"/>
    </sheetView>
  </sheetViews>
  <sheetFormatPr defaultColWidth="9.1796875" defaultRowHeight="10" x14ac:dyDescent="0.2"/>
  <cols>
    <col min="1" max="1" width="2.1796875" style="17" customWidth="1"/>
    <col min="2" max="2" width="32.54296875" style="17" customWidth="1"/>
    <col min="3" max="4" width="9.26953125" style="17" bestFit="1" customWidth="1"/>
    <col min="5" max="5" width="10.1796875" style="17" bestFit="1" customWidth="1"/>
    <col min="6" max="6" width="9.7265625" style="17" customWidth="1"/>
    <col min="7" max="7" width="10.1796875" style="17" bestFit="1" customWidth="1"/>
    <col min="8" max="8" width="7.81640625" style="17" bestFit="1" customWidth="1"/>
    <col min="9" max="9" width="8.81640625" style="17" bestFit="1" customWidth="1"/>
    <col min="10" max="10" width="9.7265625" style="17" bestFit="1" customWidth="1"/>
    <col min="11" max="11" width="9.26953125" style="17" bestFit="1" customWidth="1"/>
    <col min="12" max="12" width="10.1796875" style="17" bestFit="1" customWidth="1"/>
    <col min="13" max="13" width="11.26953125" style="17" bestFit="1" customWidth="1"/>
    <col min="14" max="14" width="2.54296875" style="17" customWidth="1"/>
    <col min="15" max="15" width="29.1796875" style="101" customWidth="1"/>
    <col min="16" max="16384" width="9.1796875" style="17"/>
  </cols>
  <sheetData>
    <row r="2" spans="2:13" ht="15.5" x14ac:dyDescent="0.2">
      <c r="B2" s="299" t="s">
        <v>288</v>
      </c>
      <c r="C2" s="299"/>
      <c r="D2" s="299"/>
      <c r="E2" s="299"/>
      <c r="F2" s="299"/>
      <c r="G2" s="299"/>
      <c r="H2" s="299"/>
      <c r="I2" s="299"/>
      <c r="J2" s="299"/>
      <c r="K2" s="299"/>
      <c r="L2" s="299"/>
      <c r="M2" s="299"/>
    </row>
    <row r="3" spans="2:13" s="20" customFormat="1" ht="69.75" customHeight="1" x14ac:dyDescent="0.2">
      <c r="B3" s="153" t="s">
        <v>2</v>
      </c>
      <c r="C3" s="153" t="s">
        <v>3</v>
      </c>
      <c r="D3" s="153" t="s">
        <v>75</v>
      </c>
      <c r="E3" s="153" t="s">
        <v>82</v>
      </c>
      <c r="F3" s="153" t="s">
        <v>99</v>
      </c>
      <c r="G3" s="173" t="s">
        <v>83</v>
      </c>
      <c r="H3" s="174" t="s">
        <v>90</v>
      </c>
      <c r="I3" s="174" t="s">
        <v>84</v>
      </c>
      <c r="J3" s="174" t="s">
        <v>85</v>
      </c>
      <c r="K3" s="174" t="s">
        <v>104</v>
      </c>
      <c r="L3" s="153" t="s">
        <v>105</v>
      </c>
      <c r="M3" s="174" t="s">
        <v>106</v>
      </c>
    </row>
    <row r="4" spans="2:13" ht="10.5" customHeight="1" x14ac:dyDescent="0.2">
      <c r="B4" s="175" t="s">
        <v>57</v>
      </c>
      <c r="C4" s="153" t="s">
        <v>58</v>
      </c>
      <c r="D4" s="21"/>
      <c r="E4" s="21"/>
      <c r="F4" s="21"/>
      <c r="G4" s="21"/>
      <c r="H4" s="21"/>
      <c r="I4" s="21"/>
      <c r="J4" s="21"/>
      <c r="K4" s="21"/>
      <c r="L4" s="21"/>
      <c r="M4" s="21"/>
    </row>
    <row r="5" spans="2:13" ht="10.5" customHeight="1" x14ac:dyDescent="0.2">
      <c r="B5" s="175" t="s">
        <v>59</v>
      </c>
      <c r="C5" s="153" t="s">
        <v>58</v>
      </c>
      <c r="D5" s="21"/>
      <c r="E5" s="21"/>
      <c r="F5" s="21"/>
      <c r="G5" s="21"/>
      <c r="H5" s="21"/>
      <c r="I5" s="21"/>
      <c r="J5" s="21"/>
      <c r="K5" s="21"/>
      <c r="L5" s="21"/>
      <c r="M5" s="21"/>
    </row>
    <row r="6" spans="2:13" ht="10.5" customHeight="1" x14ac:dyDescent="0.2">
      <c r="B6" s="175" t="s">
        <v>60</v>
      </c>
      <c r="C6" s="153"/>
      <c r="D6" s="21"/>
      <c r="E6" s="21"/>
      <c r="F6" s="21"/>
      <c r="G6" s="21"/>
      <c r="H6" s="21"/>
      <c r="I6" s="21"/>
      <c r="J6" s="21"/>
      <c r="K6" s="21"/>
      <c r="L6" s="21"/>
      <c r="M6" s="21"/>
    </row>
    <row r="7" spans="2:13" ht="12" x14ac:dyDescent="0.2">
      <c r="B7" s="176" t="s">
        <v>253</v>
      </c>
      <c r="C7" s="21">
        <v>24</v>
      </c>
      <c r="D7" s="111">
        <v>0</v>
      </c>
      <c r="E7" s="21">
        <v>1</v>
      </c>
      <c r="F7" s="154">
        <f>C7*E7</f>
        <v>24</v>
      </c>
      <c r="G7" s="272">
        <v>0</v>
      </c>
      <c r="H7" s="154">
        <f>G7*F7</f>
        <v>0</v>
      </c>
      <c r="I7" s="154">
        <f>H7*0.1</f>
        <v>0</v>
      </c>
      <c r="J7" s="154">
        <f>H7*0.05</f>
        <v>0</v>
      </c>
      <c r="K7" s="154">
        <f>SUM(H7:J7)</f>
        <v>0</v>
      </c>
      <c r="L7" s="111">
        <f>ROUND(H7*Inputs!$G$82+I7*Inputs!$G$84+J7*Inputs!$G$83,0)</f>
        <v>0</v>
      </c>
      <c r="M7" s="111">
        <f>D7*E7*G7</f>
        <v>0</v>
      </c>
    </row>
    <row r="8" spans="2:13" x14ac:dyDescent="0.2">
      <c r="B8" s="176" t="s">
        <v>61</v>
      </c>
      <c r="C8" s="21"/>
      <c r="D8" s="111"/>
      <c r="E8" s="21"/>
      <c r="F8" s="154"/>
      <c r="G8" s="154"/>
      <c r="H8" s="154"/>
      <c r="I8" s="154"/>
      <c r="J8" s="154"/>
      <c r="K8" s="154"/>
      <c r="L8" s="111"/>
      <c r="M8" s="111"/>
    </row>
    <row r="9" spans="2:13" ht="12" x14ac:dyDescent="0.2">
      <c r="B9" s="179" t="s">
        <v>254</v>
      </c>
      <c r="C9" s="21"/>
      <c r="D9" s="111"/>
      <c r="E9" s="21"/>
      <c r="F9" s="154"/>
      <c r="G9" s="154"/>
      <c r="H9" s="154"/>
      <c r="I9" s="154"/>
      <c r="J9" s="154"/>
      <c r="K9" s="154"/>
      <c r="L9" s="111"/>
      <c r="M9" s="111"/>
    </row>
    <row r="10" spans="2:13" x14ac:dyDescent="0.2">
      <c r="B10" s="178" t="s">
        <v>93</v>
      </c>
      <c r="C10" s="21">
        <v>0</v>
      </c>
      <c r="D10" s="111">
        <f>Inputs!F21</f>
        <v>364905</v>
      </c>
      <c r="E10" s="21">
        <v>1</v>
      </c>
      <c r="F10" s="154">
        <f>C10*E10</f>
        <v>0</v>
      </c>
      <c r="G10" s="154">
        <v>13</v>
      </c>
      <c r="H10" s="154">
        <f>G10*F10</f>
        <v>0</v>
      </c>
      <c r="I10" s="154">
        <f>H10*0.1</f>
        <v>0</v>
      </c>
      <c r="J10" s="154">
        <f>H10*0.05</f>
        <v>0</v>
      </c>
      <c r="K10" s="154">
        <f>SUM(H10:J10)</f>
        <v>0</v>
      </c>
      <c r="L10" s="111">
        <f>ROUND(H10*Inputs!$G$82+I10*Inputs!$G$84+J10*Inputs!$G$83,0)</f>
        <v>0</v>
      </c>
      <c r="M10" s="111">
        <f>D10*E10*G10</f>
        <v>4743765</v>
      </c>
    </row>
    <row r="11" spans="2:13" x14ac:dyDescent="0.2">
      <c r="B11" s="178" t="s">
        <v>94</v>
      </c>
      <c r="C11" s="21">
        <v>0</v>
      </c>
      <c r="D11" s="111">
        <f>Inputs!G21</f>
        <v>69400</v>
      </c>
      <c r="E11" s="21">
        <v>1</v>
      </c>
      <c r="F11" s="154">
        <f>C11*E11</f>
        <v>0</v>
      </c>
      <c r="G11" s="154">
        <v>13</v>
      </c>
      <c r="H11" s="154">
        <f>G11*F11</f>
        <v>0</v>
      </c>
      <c r="I11" s="154">
        <f>H11*0.1</f>
        <v>0</v>
      </c>
      <c r="J11" s="154">
        <f>H11*0.05</f>
        <v>0</v>
      </c>
      <c r="K11" s="154">
        <f>SUM(H11:J11)</f>
        <v>0</v>
      </c>
      <c r="L11" s="111">
        <f>ROUND(H11*Inputs!$G$82+I11*Inputs!$G$84+J11*Inputs!$G$83,0)</f>
        <v>0</v>
      </c>
      <c r="M11" s="111">
        <f>D11*E11*G11</f>
        <v>902200</v>
      </c>
    </row>
    <row r="12" spans="2:13" x14ac:dyDescent="0.2">
      <c r="B12" s="179" t="s">
        <v>151</v>
      </c>
      <c r="C12" s="21"/>
      <c r="D12" s="111"/>
      <c r="E12" s="21"/>
      <c r="F12" s="154"/>
      <c r="G12" s="154"/>
      <c r="H12" s="154"/>
      <c r="I12" s="154"/>
      <c r="J12" s="154"/>
      <c r="K12" s="154"/>
      <c r="L12" s="111"/>
      <c r="M12" s="111"/>
    </row>
    <row r="13" spans="2:13" x14ac:dyDescent="0.2">
      <c r="B13" s="178" t="s">
        <v>93</v>
      </c>
      <c r="C13" s="21">
        <v>0</v>
      </c>
      <c r="D13" s="111">
        <f>Inputs!C31</f>
        <v>26526</v>
      </c>
      <c r="E13" s="21">
        <v>1</v>
      </c>
      <c r="F13" s="154">
        <f>C13*E13</f>
        <v>0</v>
      </c>
      <c r="G13" s="154">
        <v>13</v>
      </c>
      <c r="H13" s="154">
        <f>G13*F13</f>
        <v>0</v>
      </c>
      <c r="I13" s="154">
        <f>H13*0.1</f>
        <v>0</v>
      </c>
      <c r="J13" s="154">
        <f>H13*0.05</f>
        <v>0</v>
      </c>
      <c r="K13" s="154">
        <f>SUM(H13:J13)</f>
        <v>0</v>
      </c>
      <c r="L13" s="111">
        <f>ROUND(H13*Inputs!$G$82+I13*Inputs!$G$84+J13*Inputs!$G$83,0)</f>
        <v>0</v>
      </c>
      <c r="M13" s="111">
        <f>D13*E13*G13</f>
        <v>344838</v>
      </c>
    </row>
    <row r="14" spans="2:13" x14ac:dyDescent="0.2">
      <c r="B14" s="178" t="s">
        <v>94</v>
      </c>
      <c r="C14" s="21">
        <v>0</v>
      </c>
      <c r="D14" s="111">
        <f>Inputs!D31</f>
        <v>6784</v>
      </c>
      <c r="E14" s="21">
        <v>1</v>
      </c>
      <c r="F14" s="154">
        <f>C14*E14</f>
        <v>0</v>
      </c>
      <c r="G14" s="154">
        <v>13</v>
      </c>
      <c r="H14" s="154">
        <f>G14*F14</f>
        <v>0</v>
      </c>
      <c r="I14" s="154">
        <f>H14*0.1</f>
        <v>0</v>
      </c>
      <c r="J14" s="154">
        <f>H14*0.05</f>
        <v>0</v>
      </c>
      <c r="K14" s="154">
        <f>SUM(H14:J14)</f>
        <v>0</v>
      </c>
      <c r="L14" s="111">
        <f>ROUND(H14*Inputs!$G$82+I14*Inputs!$G$84+J14*Inputs!$G$83,0)</f>
        <v>0</v>
      </c>
      <c r="M14" s="111">
        <f>D14*E14*G14</f>
        <v>88192</v>
      </c>
    </row>
    <row r="15" spans="2:13" x14ac:dyDescent="0.2">
      <c r="B15" s="179" t="s">
        <v>152</v>
      </c>
      <c r="C15" s="21"/>
      <c r="D15" s="111"/>
      <c r="E15" s="21"/>
      <c r="F15" s="154"/>
      <c r="G15" s="154"/>
      <c r="H15" s="154"/>
      <c r="I15" s="154"/>
      <c r="J15" s="154"/>
      <c r="K15" s="154"/>
      <c r="L15" s="111"/>
      <c r="M15" s="111"/>
    </row>
    <row r="16" spans="2:13" x14ac:dyDescent="0.2">
      <c r="B16" s="178" t="s">
        <v>93</v>
      </c>
      <c r="C16" s="21">
        <v>0</v>
      </c>
      <c r="D16" s="111">
        <f>Inputs!C37</f>
        <v>2543</v>
      </c>
      <c r="E16" s="21">
        <v>1</v>
      </c>
      <c r="F16" s="154">
        <f>C16*E16</f>
        <v>0</v>
      </c>
      <c r="G16" s="154">
        <v>13</v>
      </c>
      <c r="H16" s="154">
        <f>G16*F16</f>
        <v>0</v>
      </c>
      <c r="I16" s="154">
        <f>H16*0.1</f>
        <v>0</v>
      </c>
      <c r="J16" s="154">
        <f>H16*0.05</f>
        <v>0</v>
      </c>
      <c r="K16" s="154">
        <f>SUM(H16:J16)</f>
        <v>0</v>
      </c>
      <c r="L16" s="111">
        <f>ROUND(H16*Inputs!$G$82+I16*Inputs!$G$84+J16*Inputs!$G$83,0)</f>
        <v>0</v>
      </c>
      <c r="M16" s="111">
        <f>D16*E16*G16</f>
        <v>33059</v>
      </c>
    </row>
    <row r="17" spans="2:13" x14ac:dyDescent="0.2">
      <c r="B17" s="178" t="s">
        <v>94</v>
      </c>
      <c r="C17" s="21">
        <v>0</v>
      </c>
      <c r="D17" s="111">
        <f>Inputs!D37</f>
        <v>523</v>
      </c>
      <c r="E17" s="21">
        <v>1</v>
      </c>
      <c r="F17" s="154">
        <f>C17*E17</f>
        <v>0</v>
      </c>
      <c r="G17" s="154">
        <v>13</v>
      </c>
      <c r="H17" s="154">
        <f>G17*F17</f>
        <v>0</v>
      </c>
      <c r="I17" s="154">
        <f>H17*0.1</f>
        <v>0</v>
      </c>
      <c r="J17" s="154">
        <f>H17*0.05</f>
        <v>0</v>
      </c>
      <c r="K17" s="154">
        <f>SUM(H17:J17)</f>
        <v>0</v>
      </c>
      <c r="L17" s="111">
        <f>ROUND(H17*Inputs!$G$82+I17*Inputs!$G$84+J17*Inputs!$G$83,0)</f>
        <v>0</v>
      </c>
      <c r="M17" s="111">
        <f>D17*E17*G17</f>
        <v>6799</v>
      </c>
    </row>
    <row r="18" spans="2:13" ht="22" x14ac:dyDescent="0.2">
      <c r="B18" s="177" t="s">
        <v>255</v>
      </c>
      <c r="C18" s="21"/>
      <c r="D18" s="111"/>
      <c r="E18" s="21"/>
      <c r="F18" s="154"/>
      <c r="G18" s="154"/>
      <c r="H18" s="154"/>
      <c r="I18" s="154"/>
      <c r="J18" s="154"/>
      <c r="K18" s="154"/>
      <c r="L18" s="111"/>
      <c r="M18" s="111"/>
    </row>
    <row r="19" spans="2:13" x14ac:dyDescent="0.2">
      <c r="B19" s="178" t="s">
        <v>93</v>
      </c>
      <c r="C19" s="21">
        <v>0</v>
      </c>
      <c r="D19" s="111">
        <f>Inputs!C43</f>
        <v>16500</v>
      </c>
      <c r="E19" s="21">
        <v>1</v>
      </c>
      <c r="F19" s="154">
        <f>C19*E19</f>
        <v>0</v>
      </c>
      <c r="G19" s="154">
        <v>1</v>
      </c>
      <c r="H19" s="154">
        <f>G19*F19</f>
        <v>0</v>
      </c>
      <c r="I19" s="154">
        <f>H19*0.1</f>
        <v>0</v>
      </c>
      <c r="J19" s="154">
        <f>H19*0.05</f>
        <v>0</v>
      </c>
      <c r="K19" s="154">
        <f>SUM(H19:J19)</f>
        <v>0</v>
      </c>
      <c r="L19" s="111">
        <f>ROUND(H19*Inputs!$G$82+I19*Inputs!$G$84+J19*Inputs!$G$83,0)</f>
        <v>0</v>
      </c>
      <c r="M19" s="111">
        <f>D19*E19*G19</f>
        <v>16500</v>
      </c>
    </row>
    <row r="20" spans="2:13" x14ac:dyDescent="0.2">
      <c r="B20" s="178" t="s">
        <v>94</v>
      </c>
      <c r="C20" s="21">
        <v>0</v>
      </c>
      <c r="D20" s="111">
        <f>Inputs!D43</f>
        <v>1400</v>
      </c>
      <c r="E20" s="21">
        <v>1</v>
      </c>
      <c r="F20" s="154">
        <f>C20*E20</f>
        <v>0</v>
      </c>
      <c r="G20" s="154">
        <v>1</v>
      </c>
      <c r="H20" s="154">
        <f>G20*F20</f>
        <v>0</v>
      </c>
      <c r="I20" s="154">
        <f>H20*0.1</f>
        <v>0</v>
      </c>
      <c r="J20" s="154">
        <f>H20*0.05</f>
        <v>0</v>
      </c>
      <c r="K20" s="154">
        <f>SUM(H20:J20)</f>
        <v>0</v>
      </c>
      <c r="L20" s="111">
        <f>ROUND(H20*Inputs!$G$82+I20*Inputs!$G$84+J20*Inputs!$G$83,0)</f>
        <v>0</v>
      </c>
      <c r="M20" s="111">
        <f>D20*E20*G20</f>
        <v>1400</v>
      </c>
    </row>
    <row r="21" spans="2:13" x14ac:dyDescent="0.2">
      <c r="B21" s="177" t="s">
        <v>190</v>
      </c>
      <c r="C21" s="21"/>
      <c r="D21" s="111"/>
      <c r="E21" s="21"/>
      <c r="F21" s="154"/>
      <c r="G21" s="154"/>
      <c r="H21" s="154"/>
      <c r="I21" s="154"/>
      <c r="J21" s="154"/>
      <c r="K21" s="154"/>
      <c r="L21" s="111"/>
      <c r="M21" s="111"/>
    </row>
    <row r="22" spans="2:13" x14ac:dyDescent="0.2">
      <c r="B22" s="178" t="s">
        <v>93</v>
      </c>
      <c r="C22" s="21">
        <v>0</v>
      </c>
      <c r="D22" s="111">
        <f>Inputs!C49</f>
        <v>116</v>
      </c>
      <c r="E22" s="21">
        <v>1</v>
      </c>
      <c r="F22" s="154">
        <f>C22*E22</f>
        <v>0</v>
      </c>
      <c r="G22" s="154">
        <v>13</v>
      </c>
      <c r="H22" s="154">
        <f>G22*F22</f>
        <v>0</v>
      </c>
      <c r="I22" s="154">
        <f>H22*0.1</f>
        <v>0</v>
      </c>
      <c r="J22" s="154">
        <f>H22*0.05</f>
        <v>0</v>
      </c>
      <c r="K22" s="154">
        <f>SUM(H22:J22)</f>
        <v>0</v>
      </c>
      <c r="L22" s="111">
        <f>ROUND(H22*Inputs!$G$82+I22*Inputs!$G$84+J22*Inputs!$G$83,0)</f>
        <v>0</v>
      </c>
      <c r="M22" s="111">
        <f>D22*E22*G22</f>
        <v>1508</v>
      </c>
    </row>
    <row r="23" spans="2:13" x14ac:dyDescent="0.2">
      <c r="B23" s="178" t="s">
        <v>94</v>
      </c>
      <c r="C23" s="21">
        <v>0</v>
      </c>
      <c r="D23" s="111">
        <f>Inputs!D49</f>
        <v>109</v>
      </c>
      <c r="E23" s="21">
        <v>1</v>
      </c>
      <c r="F23" s="154">
        <f>C23*E23</f>
        <v>0</v>
      </c>
      <c r="G23" s="154">
        <v>13</v>
      </c>
      <c r="H23" s="154">
        <f>G23*F23</f>
        <v>0</v>
      </c>
      <c r="I23" s="154">
        <f>H23*0.1</f>
        <v>0</v>
      </c>
      <c r="J23" s="154">
        <f>H23*0.05</f>
        <v>0</v>
      </c>
      <c r="K23" s="154">
        <f>SUM(H23:J23)</f>
        <v>0</v>
      </c>
      <c r="L23" s="111">
        <f>ROUND(H23*Inputs!$G$82+I23*Inputs!$G$84+J23*Inputs!$G$83,0)</f>
        <v>0</v>
      </c>
      <c r="M23" s="111">
        <f>D23*E23*G23</f>
        <v>1417</v>
      </c>
    </row>
    <row r="24" spans="2:13" ht="20" x14ac:dyDescent="0.2">
      <c r="B24" s="177" t="s">
        <v>191</v>
      </c>
      <c r="C24" s="21"/>
      <c r="D24" s="111"/>
      <c r="E24" s="21"/>
      <c r="F24" s="154"/>
      <c r="G24" s="154"/>
      <c r="H24" s="154"/>
      <c r="I24" s="154"/>
      <c r="J24" s="154"/>
      <c r="K24" s="154"/>
      <c r="L24" s="111"/>
      <c r="M24" s="111"/>
    </row>
    <row r="25" spans="2:13" x14ac:dyDescent="0.2">
      <c r="B25" s="178" t="s">
        <v>93</v>
      </c>
      <c r="C25" s="21">
        <v>0</v>
      </c>
      <c r="D25" s="111">
        <f>Inputs!C55</f>
        <v>2080</v>
      </c>
      <c r="E25" s="21">
        <v>1</v>
      </c>
      <c r="F25" s="154">
        <f>C25*E25</f>
        <v>0</v>
      </c>
      <c r="G25" s="154">
        <v>13</v>
      </c>
      <c r="H25" s="154">
        <f>G25*F25</f>
        <v>0</v>
      </c>
      <c r="I25" s="154">
        <f>H25*0.1</f>
        <v>0</v>
      </c>
      <c r="J25" s="154">
        <f>H25*0.05</f>
        <v>0</v>
      </c>
      <c r="K25" s="154">
        <f>SUM(H25:J25)</f>
        <v>0</v>
      </c>
      <c r="L25" s="111">
        <f>ROUND(H25*Inputs!$G$82+I25*Inputs!$G$84+J25*Inputs!$G$83,0)</f>
        <v>0</v>
      </c>
      <c r="M25" s="111">
        <f>D25*E25*G25</f>
        <v>27040</v>
      </c>
    </row>
    <row r="26" spans="2:13" x14ac:dyDescent="0.2">
      <c r="B26" s="178" t="s">
        <v>94</v>
      </c>
      <c r="C26" s="21">
        <v>0</v>
      </c>
      <c r="D26" s="111">
        <f>Inputs!D55</f>
        <v>360</v>
      </c>
      <c r="E26" s="21">
        <v>1</v>
      </c>
      <c r="F26" s="154">
        <f>C26*E26</f>
        <v>0</v>
      </c>
      <c r="G26" s="154">
        <v>13</v>
      </c>
      <c r="H26" s="154">
        <f>G26*F26</f>
        <v>0</v>
      </c>
      <c r="I26" s="154">
        <f>H26*0.1</f>
        <v>0</v>
      </c>
      <c r="J26" s="154">
        <f>H26*0.05</f>
        <v>0</v>
      </c>
      <c r="K26" s="154">
        <f>SUM(H26:J26)</f>
        <v>0</v>
      </c>
      <c r="L26" s="111">
        <f>ROUND(H26*Inputs!$G$82+I26*Inputs!$G$84+J26*Inputs!$G$83,0)</f>
        <v>0</v>
      </c>
      <c r="M26" s="111">
        <f>D26*E26*G26</f>
        <v>4680</v>
      </c>
    </row>
    <row r="27" spans="2:13" ht="22" x14ac:dyDescent="0.2">
      <c r="B27" s="177" t="s">
        <v>256</v>
      </c>
      <c r="C27" s="21"/>
      <c r="D27" s="111"/>
      <c r="E27" s="21"/>
      <c r="F27" s="154"/>
      <c r="G27" s="154"/>
      <c r="H27" s="154"/>
      <c r="I27" s="154"/>
      <c r="J27" s="154"/>
      <c r="K27" s="154"/>
      <c r="L27" s="111"/>
      <c r="M27" s="111"/>
    </row>
    <row r="28" spans="2:13" x14ac:dyDescent="0.2">
      <c r="B28" s="178" t="s">
        <v>93</v>
      </c>
      <c r="C28" s="21">
        <v>0</v>
      </c>
      <c r="D28" s="111">
        <f>Inputs!C61</f>
        <v>560000</v>
      </c>
      <c r="E28" s="21">
        <v>1</v>
      </c>
      <c r="F28" s="154">
        <f>C28*E28</f>
        <v>0</v>
      </c>
      <c r="G28" s="154">
        <v>1</v>
      </c>
      <c r="H28" s="154">
        <f>G28*F28</f>
        <v>0</v>
      </c>
      <c r="I28" s="154">
        <f>H28*0.1</f>
        <v>0</v>
      </c>
      <c r="J28" s="154">
        <f>H28*0.05</f>
        <v>0</v>
      </c>
      <c r="K28" s="154">
        <f>SUM(H28:J28)</f>
        <v>0</v>
      </c>
      <c r="L28" s="111">
        <f>ROUND(H28*Inputs!$G$82+I28*Inputs!$G$84+J28*Inputs!$G$83,0)</f>
        <v>0</v>
      </c>
      <c r="M28" s="111">
        <f>D28*E28*G28</f>
        <v>560000</v>
      </c>
    </row>
    <row r="29" spans="2:13" x14ac:dyDescent="0.2">
      <c r="B29" s="178" t="s">
        <v>94</v>
      </c>
      <c r="C29" s="21">
        <v>0</v>
      </c>
      <c r="D29" s="111">
        <f>Inputs!D61</f>
        <v>325000</v>
      </c>
      <c r="E29" s="21">
        <v>1</v>
      </c>
      <c r="F29" s="154">
        <f>C29*E29</f>
        <v>0</v>
      </c>
      <c r="G29" s="154">
        <v>1</v>
      </c>
      <c r="H29" s="154">
        <f>G29*F29</f>
        <v>0</v>
      </c>
      <c r="I29" s="154">
        <f>H29*0.1</f>
        <v>0</v>
      </c>
      <c r="J29" s="154">
        <f>H29*0.05</f>
        <v>0</v>
      </c>
      <c r="K29" s="154">
        <f>SUM(H29:J29)</f>
        <v>0</v>
      </c>
      <c r="L29" s="111">
        <f>ROUND(H29*Inputs!$G$82+I29*Inputs!$G$84+J29*Inputs!$G$83,0)</f>
        <v>0</v>
      </c>
      <c r="M29" s="111">
        <f>D29*E29*G29</f>
        <v>325000</v>
      </c>
    </row>
    <row r="30" spans="2:13" ht="12" x14ac:dyDescent="0.2">
      <c r="B30" s="177" t="s">
        <v>257</v>
      </c>
      <c r="C30" s="21"/>
      <c r="D30" s="111"/>
      <c r="E30" s="21"/>
      <c r="F30" s="154"/>
      <c r="G30" s="154"/>
      <c r="H30" s="154"/>
      <c r="I30" s="154"/>
      <c r="J30" s="154"/>
      <c r="K30" s="154"/>
      <c r="L30" s="111"/>
      <c r="M30" s="111"/>
    </row>
    <row r="31" spans="2:13" x14ac:dyDescent="0.2">
      <c r="B31" s="178" t="s">
        <v>93</v>
      </c>
      <c r="C31" s="21">
        <v>0</v>
      </c>
      <c r="D31" s="111">
        <f>Inputs!C67</f>
        <v>10625</v>
      </c>
      <c r="E31" s="21">
        <v>1</v>
      </c>
      <c r="F31" s="154">
        <f>C31*E31</f>
        <v>0</v>
      </c>
      <c r="G31" s="154">
        <v>12</v>
      </c>
      <c r="H31" s="154">
        <f>G31*F31</f>
        <v>0</v>
      </c>
      <c r="I31" s="154">
        <f>H31*0.1</f>
        <v>0</v>
      </c>
      <c r="J31" s="154">
        <f>H31*0.05</f>
        <v>0</v>
      </c>
      <c r="K31" s="154">
        <f>SUM(H31:J31)</f>
        <v>0</v>
      </c>
      <c r="L31" s="111">
        <f>ROUND(H31*Inputs!$G$82+I31*Inputs!$G$84+J31*Inputs!$G$83,0)</f>
        <v>0</v>
      </c>
      <c r="M31" s="111">
        <f>D31*E31*G31</f>
        <v>127500</v>
      </c>
    </row>
    <row r="32" spans="2:13" x14ac:dyDescent="0.2">
      <c r="B32" s="178" t="s">
        <v>94</v>
      </c>
      <c r="C32" s="21">
        <v>0</v>
      </c>
      <c r="D32" s="111">
        <f>Inputs!D67</f>
        <v>104583</v>
      </c>
      <c r="E32" s="21">
        <v>1</v>
      </c>
      <c r="F32" s="154">
        <f>C32*E32</f>
        <v>0</v>
      </c>
      <c r="G32" s="154">
        <v>12</v>
      </c>
      <c r="H32" s="154">
        <f>G32*F32</f>
        <v>0</v>
      </c>
      <c r="I32" s="154">
        <f>H32*0.1</f>
        <v>0</v>
      </c>
      <c r="J32" s="154">
        <f>H32*0.05</f>
        <v>0</v>
      </c>
      <c r="K32" s="154">
        <f>SUM(H32:J32)</f>
        <v>0</v>
      </c>
      <c r="L32" s="111">
        <f>ROUND(H32*Inputs!$G$82+I32*Inputs!$G$84+J32*Inputs!$G$83,0)</f>
        <v>0</v>
      </c>
      <c r="M32" s="111">
        <f>D32*E32*G32</f>
        <v>1254996</v>
      </c>
    </row>
    <row r="33" spans="2:15" ht="20" x14ac:dyDescent="0.2">
      <c r="B33" s="177" t="s">
        <v>192</v>
      </c>
      <c r="C33" s="21"/>
      <c r="D33" s="111"/>
      <c r="E33" s="21"/>
      <c r="F33" s="154"/>
      <c r="G33" s="154"/>
      <c r="H33" s="154"/>
      <c r="I33" s="154"/>
      <c r="J33" s="154"/>
      <c r="K33" s="154"/>
      <c r="L33" s="111"/>
      <c r="M33" s="111"/>
    </row>
    <row r="34" spans="2:15" x14ac:dyDescent="0.2">
      <c r="B34" s="178" t="s">
        <v>93</v>
      </c>
      <c r="C34" s="21">
        <v>0</v>
      </c>
      <c r="D34" s="111">
        <f>Inputs!C74</f>
        <v>39277</v>
      </c>
      <c r="E34" s="21">
        <v>1</v>
      </c>
      <c r="F34" s="154">
        <f>C34*E34</f>
        <v>0</v>
      </c>
      <c r="G34" s="154">
        <v>13</v>
      </c>
      <c r="H34" s="154">
        <f>G34*F34</f>
        <v>0</v>
      </c>
      <c r="I34" s="154">
        <f>H34*0.1</f>
        <v>0</v>
      </c>
      <c r="J34" s="154">
        <f>H34*0.05</f>
        <v>0</v>
      </c>
      <c r="K34" s="154">
        <f>SUM(H34:J34)</f>
        <v>0</v>
      </c>
      <c r="L34" s="111">
        <f>ROUND(H34*Inputs!$G$82+I34*Inputs!$G$84+J34*Inputs!$G$83,0)</f>
        <v>0</v>
      </c>
      <c r="M34" s="111">
        <f>D34*E34*G34</f>
        <v>510601</v>
      </c>
    </row>
    <row r="35" spans="2:15" x14ac:dyDescent="0.2">
      <c r="B35" s="178" t="s">
        <v>94</v>
      </c>
      <c r="C35" s="21">
        <v>0</v>
      </c>
      <c r="D35" s="111">
        <f>Inputs!D74</f>
        <v>98884</v>
      </c>
      <c r="E35" s="21">
        <v>1</v>
      </c>
      <c r="F35" s="154">
        <f>C35*E35</f>
        <v>0</v>
      </c>
      <c r="G35" s="154">
        <v>13</v>
      </c>
      <c r="H35" s="154">
        <f>G35*F35</f>
        <v>0</v>
      </c>
      <c r="I35" s="154">
        <f>H35*0.1</f>
        <v>0</v>
      </c>
      <c r="J35" s="154">
        <f>H35*0.05</f>
        <v>0</v>
      </c>
      <c r="K35" s="154">
        <f>SUM(H35:J35)</f>
        <v>0</v>
      </c>
      <c r="L35" s="111">
        <f>ROUND(H35*Inputs!$G$82+I35*Inputs!$G$84+J35*Inputs!$G$83,0)</f>
        <v>0</v>
      </c>
      <c r="M35" s="111">
        <f>D35*E35*G35</f>
        <v>1285492</v>
      </c>
    </row>
    <row r="36" spans="2:15" ht="22.9" customHeight="1" x14ac:dyDescent="0.2">
      <c r="B36" s="177" t="s">
        <v>258</v>
      </c>
      <c r="C36" s="21"/>
      <c r="D36" s="111"/>
      <c r="E36" s="21"/>
      <c r="F36" s="154"/>
      <c r="G36" s="154"/>
      <c r="H36" s="154"/>
      <c r="I36" s="154"/>
      <c r="J36" s="154"/>
      <c r="K36" s="154"/>
      <c r="L36" s="111"/>
      <c r="M36" s="111"/>
    </row>
    <row r="37" spans="2:15" x14ac:dyDescent="0.2">
      <c r="B37" s="178" t="s">
        <v>93</v>
      </c>
      <c r="C37" s="21">
        <v>0</v>
      </c>
      <c r="D37" s="111">
        <f>Inputs!J13</f>
        <v>1457857.142857143</v>
      </c>
      <c r="E37" s="21">
        <v>1</v>
      </c>
      <c r="F37" s="154">
        <f>C37*E37</f>
        <v>0</v>
      </c>
      <c r="G37" s="154">
        <v>1</v>
      </c>
      <c r="H37" s="154">
        <f>G37*F37</f>
        <v>0</v>
      </c>
      <c r="I37" s="154">
        <f>H37*0.1</f>
        <v>0</v>
      </c>
      <c r="J37" s="154">
        <f>H37*0.05</f>
        <v>0</v>
      </c>
      <c r="K37" s="154">
        <f>SUM(H37:J37)</f>
        <v>0</v>
      </c>
      <c r="L37" s="111">
        <f>ROUND(H37*Inputs!$G$82+I37*Inputs!$G$84+J37*Inputs!$G$83,0)</f>
        <v>0</v>
      </c>
      <c r="M37" s="111">
        <f>D37*E37*G37</f>
        <v>1457857.142857143</v>
      </c>
    </row>
    <row r="38" spans="2:15" x14ac:dyDescent="0.2">
      <c r="B38" s="178" t="s">
        <v>94</v>
      </c>
      <c r="C38" s="21">
        <v>0</v>
      </c>
      <c r="D38" s="111">
        <f>Inputs!K13</f>
        <v>753714.28571428568</v>
      </c>
      <c r="E38" s="21">
        <v>1</v>
      </c>
      <c r="F38" s="154">
        <f>C38*E38</f>
        <v>0</v>
      </c>
      <c r="G38" s="154">
        <v>1</v>
      </c>
      <c r="H38" s="154">
        <f>G38*F38</f>
        <v>0</v>
      </c>
      <c r="I38" s="154">
        <f>H38*0.1</f>
        <v>0</v>
      </c>
      <c r="J38" s="154">
        <f>H38*0.05</f>
        <v>0</v>
      </c>
      <c r="K38" s="154">
        <f>SUM(H38:J38)</f>
        <v>0</v>
      </c>
      <c r="L38" s="111">
        <f>ROUND(H38*Inputs!$G$82+I38*Inputs!$G$84+J38*Inputs!$G$83,0)</f>
        <v>0</v>
      </c>
      <c r="M38" s="111">
        <f>D38*E38*G38</f>
        <v>753714.28571428568</v>
      </c>
    </row>
    <row r="39" spans="2:15" ht="22.9" customHeight="1" x14ac:dyDescent="0.2">
      <c r="B39" s="177" t="s">
        <v>259</v>
      </c>
      <c r="C39" s="21"/>
      <c r="D39" s="111"/>
      <c r="E39" s="21"/>
      <c r="F39" s="154"/>
      <c r="G39" s="154"/>
      <c r="H39" s="154"/>
      <c r="I39" s="154"/>
      <c r="J39" s="154"/>
      <c r="K39" s="154"/>
      <c r="L39" s="111"/>
      <c r="M39" s="111"/>
    </row>
    <row r="40" spans="2:15" x14ac:dyDescent="0.2">
      <c r="B40" s="178" t="s">
        <v>93</v>
      </c>
      <c r="C40" s="21">
        <v>0</v>
      </c>
      <c r="D40" s="111">
        <f>Inputs!N11</f>
        <v>23200</v>
      </c>
      <c r="E40" s="21">
        <v>1</v>
      </c>
      <c r="F40" s="154">
        <f>C40*E40</f>
        <v>0</v>
      </c>
      <c r="G40" s="154">
        <v>1</v>
      </c>
      <c r="H40" s="154">
        <f>G40*F40</f>
        <v>0</v>
      </c>
      <c r="I40" s="154">
        <f>H40*0.1</f>
        <v>0</v>
      </c>
      <c r="J40" s="154">
        <f>H40*0.05</f>
        <v>0</v>
      </c>
      <c r="K40" s="154">
        <f>SUM(H40:J40)</f>
        <v>0</v>
      </c>
      <c r="L40" s="111">
        <f>ROUND(H40*Inputs!$G$82+I40*Inputs!$G$84+J40*Inputs!$G$83,0)</f>
        <v>0</v>
      </c>
      <c r="M40" s="111">
        <f>D40*E40*G40</f>
        <v>23200</v>
      </c>
      <c r="O40" s="227"/>
    </row>
    <row r="41" spans="2:15" x14ac:dyDescent="0.2">
      <c r="B41" s="178" t="s">
        <v>94</v>
      </c>
      <c r="C41" s="21">
        <v>0</v>
      </c>
      <c r="D41" s="111">
        <f>Inputs!N12</f>
        <v>4900</v>
      </c>
      <c r="E41" s="21">
        <v>1</v>
      </c>
      <c r="F41" s="154">
        <f>C41*E41</f>
        <v>0</v>
      </c>
      <c r="G41" s="154">
        <v>1</v>
      </c>
      <c r="H41" s="154">
        <f>G41*F41</f>
        <v>0</v>
      </c>
      <c r="I41" s="154">
        <f>H41*0.1</f>
        <v>0</v>
      </c>
      <c r="J41" s="154">
        <f>H41*0.05</f>
        <v>0</v>
      </c>
      <c r="K41" s="154">
        <f>SUM(H41:J41)</f>
        <v>0</v>
      </c>
      <c r="L41" s="111">
        <f>ROUND(H41*Inputs!$G$82+I41*Inputs!$G$84+J41*Inputs!$G$83,0)</f>
        <v>0</v>
      </c>
      <c r="M41" s="111">
        <f>D41*E41*G41</f>
        <v>4900</v>
      </c>
    </row>
    <row r="42" spans="2:15" ht="22.15" customHeight="1" x14ac:dyDescent="0.2">
      <c r="B42" s="177" t="s">
        <v>260</v>
      </c>
      <c r="C42" s="21"/>
      <c r="D42" s="111"/>
      <c r="E42" s="21"/>
      <c r="F42" s="154"/>
      <c r="G42" s="154"/>
      <c r="H42" s="154"/>
      <c r="I42" s="154"/>
      <c r="J42" s="154"/>
      <c r="K42" s="154"/>
      <c r="L42" s="111"/>
      <c r="M42" s="111"/>
    </row>
    <row r="43" spans="2:15" x14ac:dyDescent="0.2">
      <c r="B43" s="178" t="s">
        <v>155</v>
      </c>
      <c r="C43" s="21">
        <v>0</v>
      </c>
      <c r="D43" s="111">
        <f>Inputs!N13</f>
        <v>38302</v>
      </c>
      <c r="E43" s="21">
        <v>1</v>
      </c>
      <c r="F43" s="154">
        <f>C43*E43</f>
        <v>0</v>
      </c>
      <c r="G43" s="154">
        <v>0</v>
      </c>
      <c r="H43" s="154">
        <f>G43*F43</f>
        <v>0</v>
      </c>
      <c r="I43" s="154">
        <f>H43*0.1</f>
        <v>0</v>
      </c>
      <c r="J43" s="154">
        <f>H43*0.05</f>
        <v>0</v>
      </c>
      <c r="K43" s="154">
        <f>SUM(H43:J43)</f>
        <v>0</v>
      </c>
      <c r="L43" s="111">
        <f>ROUND(H43*Inputs!$G$82+I43*Inputs!$G$84+J43*Inputs!$G$83,0)</f>
        <v>0</v>
      </c>
      <c r="M43" s="111">
        <f>D43*E43*G43</f>
        <v>0</v>
      </c>
    </row>
    <row r="44" spans="2:15" ht="12" x14ac:dyDescent="0.2">
      <c r="B44" s="178" t="s">
        <v>261</v>
      </c>
      <c r="C44" s="21">
        <v>0</v>
      </c>
      <c r="D44" s="111">
        <f>Inputs!J14</f>
        <v>0</v>
      </c>
      <c r="E44" s="21">
        <v>1</v>
      </c>
      <c r="F44" s="154">
        <f>C44*E44</f>
        <v>0</v>
      </c>
      <c r="G44" s="154">
        <v>0</v>
      </c>
      <c r="H44" s="154">
        <f>G44*F44</f>
        <v>0</v>
      </c>
      <c r="I44" s="154">
        <f>H44*0.1</f>
        <v>0</v>
      </c>
      <c r="J44" s="154">
        <f>H44*0.05</f>
        <v>0</v>
      </c>
      <c r="K44" s="154">
        <f>SUM(H44:J44)</f>
        <v>0</v>
      </c>
      <c r="L44" s="111">
        <f>ROUND(H44*Inputs!$G$82+I44*Inputs!$G$84+J44*Inputs!$G$83,0)</f>
        <v>0</v>
      </c>
      <c r="M44" s="111">
        <f>D44*E44*G44</f>
        <v>0</v>
      </c>
    </row>
    <row r="45" spans="2:15" x14ac:dyDescent="0.2">
      <c r="B45" s="176" t="s">
        <v>62</v>
      </c>
      <c r="C45" s="21" t="s">
        <v>64</v>
      </c>
      <c r="D45" s="111"/>
      <c r="E45" s="21"/>
      <c r="F45" s="154"/>
      <c r="G45" s="154"/>
      <c r="H45" s="154"/>
      <c r="I45" s="154"/>
      <c r="J45" s="154"/>
      <c r="K45" s="154"/>
      <c r="L45" s="111"/>
      <c r="M45" s="111"/>
    </row>
    <row r="46" spans="2:15" x14ac:dyDescent="0.2">
      <c r="B46" s="176" t="s">
        <v>63</v>
      </c>
      <c r="C46" s="21" t="s">
        <v>65</v>
      </c>
      <c r="D46" s="111"/>
      <c r="E46" s="21"/>
      <c r="F46" s="154"/>
      <c r="G46" s="154"/>
      <c r="H46" s="154"/>
      <c r="I46" s="154"/>
      <c r="J46" s="154"/>
      <c r="K46" s="154"/>
      <c r="L46" s="111"/>
      <c r="M46" s="111"/>
    </row>
    <row r="47" spans="2:15" x14ac:dyDescent="0.2">
      <c r="B47" s="176" t="s">
        <v>66</v>
      </c>
      <c r="C47" s="21"/>
      <c r="D47" s="111"/>
      <c r="E47" s="21"/>
      <c r="F47" s="154"/>
      <c r="G47" s="154"/>
      <c r="H47" s="154"/>
      <c r="I47" s="154"/>
      <c r="J47" s="154"/>
      <c r="K47" s="154"/>
      <c r="L47" s="111"/>
      <c r="M47" s="111"/>
    </row>
    <row r="48" spans="2:15" x14ac:dyDescent="0.2">
      <c r="B48" s="177" t="s">
        <v>157</v>
      </c>
      <c r="C48" s="21"/>
      <c r="D48" s="111"/>
      <c r="E48" s="21"/>
      <c r="F48" s="154"/>
      <c r="G48" s="154"/>
      <c r="H48" s="154"/>
      <c r="I48" s="154"/>
      <c r="J48" s="154"/>
      <c r="K48" s="154"/>
      <c r="L48" s="111"/>
      <c r="M48" s="111"/>
    </row>
    <row r="49" spans="2:13" x14ac:dyDescent="0.2">
      <c r="B49" s="178" t="s">
        <v>108</v>
      </c>
      <c r="C49" s="21">
        <v>5</v>
      </c>
      <c r="D49" s="111">
        <v>0</v>
      </c>
      <c r="E49" s="21">
        <v>1</v>
      </c>
      <c r="F49" s="154">
        <f t="shared" ref="F49:F56" si="0">C49*E49</f>
        <v>5</v>
      </c>
      <c r="G49" s="154">
        <f>G10</f>
        <v>13</v>
      </c>
      <c r="H49" s="154">
        <f t="shared" ref="H49:H56" si="1">G49*F49</f>
        <v>65</v>
      </c>
      <c r="I49" s="154">
        <f t="shared" ref="I49:I56" si="2">H49*0.1</f>
        <v>6.5</v>
      </c>
      <c r="J49" s="154">
        <f t="shared" ref="J49:J56" si="3">H49*0.05</f>
        <v>3.25</v>
      </c>
      <c r="K49" s="154">
        <f t="shared" ref="K49:K56" si="4">SUM(H49:J49)</f>
        <v>74.75</v>
      </c>
      <c r="L49" s="111">
        <f>ROUND(H49*Inputs!$G$82+I49*Inputs!$G$84+J49*Inputs!$G$83,0)</f>
        <v>7399</v>
      </c>
      <c r="M49" s="111">
        <f t="shared" ref="M49:M56" si="5">D49*E49*G49</f>
        <v>0</v>
      </c>
    </row>
    <row r="50" spans="2:13" x14ac:dyDescent="0.2">
      <c r="B50" s="178" t="s">
        <v>109</v>
      </c>
      <c r="C50" s="21">
        <v>15</v>
      </c>
      <c r="D50" s="111">
        <v>0</v>
      </c>
      <c r="E50" s="21">
        <v>1</v>
      </c>
      <c r="F50" s="154">
        <f t="shared" si="0"/>
        <v>15</v>
      </c>
      <c r="G50" s="154">
        <f>G13</f>
        <v>13</v>
      </c>
      <c r="H50" s="154">
        <f t="shared" si="1"/>
        <v>195</v>
      </c>
      <c r="I50" s="154">
        <f t="shared" si="2"/>
        <v>19.5</v>
      </c>
      <c r="J50" s="154">
        <f t="shared" si="3"/>
        <v>9.75</v>
      </c>
      <c r="K50" s="154">
        <f t="shared" si="4"/>
        <v>224.25</v>
      </c>
      <c r="L50" s="111">
        <f>ROUND(H50*Inputs!$G$82+I50*Inputs!$G$84+J50*Inputs!$G$83,0)</f>
        <v>22196</v>
      </c>
      <c r="M50" s="111">
        <f t="shared" si="5"/>
        <v>0</v>
      </c>
    </row>
    <row r="51" spans="2:13" x14ac:dyDescent="0.2">
      <c r="B51" s="178" t="s">
        <v>223</v>
      </c>
      <c r="C51" s="21">
        <v>10</v>
      </c>
      <c r="D51" s="111">
        <v>0</v>
      </c>
      <c r="E51" s="21">
        <v>1</v>
      </c>
      <c r="F51" s="154">
        <f t="shared" si="0"/>
        <v>10</v>
      </c>
      <c r="G51" s="154">
        <f>G34</f>
        <v>13</v>
      </c>
      <c r="H51" s="154">
        <f t="shared" si="1"/>
        <v>130</v>
      </c>
      <c r="I51" s="154">
        <f t="shared" si="2"/>
        <v>13</v>
      </c>
      <c r="J51" s="154">
        <f t="shared" si="3"/>
        <v>6.5</v>
      </c>
      <c r="K51" s="154">
        <f t="shared" ref="K51:K55" si="6">SUM(H51:J51)</f>
        <v>149.5</v>
      </c>
      <c r="L51" s="111">
        <f>ROUND(H51*Inputs!$G$82+I51*Inputs!$G$84+J51*Inputs!$G$83,0)</f>
        <v>14797</v>
      </c>
      <c r="M51" s="111">
        <f t="shared" si="5"/>
        <v>0</v>
      </c>
    </row>
    <row r="52" spans="2:13" x14ac:dyDescent="0.2">
      <c r="B52" s="178" t="s">
        <v>224</v>
      </c>
      <c r="C52" s="21">
        <v>10</v>
      </c>
      <c r="D52" s="111">
        <v>0</v>
      </c>
      <c r="E52" s="21">
        <v>1</v>
      </c>
      <c r="F52" s="154">
        <f t="shared" ref="F52" si="7">C52*E52</f>
        <v>10</v>
      </c>
      <c r="G52" s="154">
        <f>G35</f>
        <v>13</v>
      </c>
      <c r="H52" s="154">
        <f t="shared" ref="H52" si="8">G52*F52</f>
        <v>130</v>
      </c>
      <c r="I52" s="154">
        <f t="shared" ref="I52" si="9">H52*0.1</f>
        <v>13</v>
      </c>
      <c r="J52" s="154">
        <f t="shared" ref="J52" si="10">H52*0.05</f>
        <v>6.5</v>
      </c>
      <c r="K52" s="154">
        <f t="shared" ref="K52" si="11">SUM(H52:J52)</f>
        <v>149.5</v>
      </c>
      <c r="L52" s="111">
        <f>ROUND(H52*Inputs!$G$82+I52*Inputs!$G$84+J52*Inputs!$G$83,0)</f>
        <v>14797</v>
      </c>
      <c r="M52" s="111">
        <f t="shared" ref="M52" si="12">D52*E52*G52</f>
        <v>0</v>
      </c>
    </row>
    <row r="53" spans="2:13" x14ac:dyDescent="0.2">
      <c r="B53" s="178" t="s">
        <v>225</v>
      </c>
      <c r="C53" s="21">
        <v>10</v>
      </c>
      <c r="D53" s="111">
        <v>0</v>
      </c>
      <c r="E53" s="21">
        <v>1</v>
      </c>
      <c r="F53" s="154">
        <f t="shared" si="0"/>
        <v>10</v>
      </c>
      <c r="G53" s="154">
        <f>G25</f>
        <v>13</v>
      </c>
      <c r="H53" s="154">
        <f t="shared" si="1"/>
        <v>130</v>
      </c>
      <c r="I53" s="154">
        <f t="shared" si="2"/>
        <v>13</v>
      </c>
      <c r="J53" s="154">
        <f t="shared" si="3"/>
        <v>6.5</v>
      </c>
      <c r="K53" s="154">
        <f t="shared" si="6"/>
        <v>149.5</v>
      </c>
      <c r="L53" s="111">
        <f>ROUND(H53*Inputs!$G$82+I53*Inputs!$G$84+J53*Inputs!$G$83,0)</f>
        <v>14797</v>
      </c>
      <c r="M53" s="111">
        <f t="shared" si="5"/>
        <v>0</v>
      </c>
    </row>
    <row r="54" spans="2:13" ht="12" x14ac:dyDescent="0.2">
      <c r="B54" s="178" t="s">
        <v>262</v>
      </c>
      <c r="C54" s="21">
        <v>5</v>
      </c>
      <c r="D54" s="111">
        <v>0</v>
      </c>
      <c r="E54" s="21">
        <v>1</v>
      </c>
      <c r="F54" s="154">
        <f t="shared" si="0"/>
        <v>5</v>
      </c>
      <c r="G54" s="154">
        <f>G19</f>
        <v>1</v>
      </c>
      <c r="H54" s="154">
        <f t="shared" si="1"/>
        <v>5</v>
      </c>
      <c r="I54" s="154">
        <f t="shared" si="2"/>
        <v>0.5</v>
      </c>
      <c r="J54" s="154">
        <f t="shared" si="3"/>
        <v>0.25</v>
      </c>
      <c r="K54" s="154">
        <f t="shared" si="6"/>
        <v>5.75</v>
      </c>
      <c r="L54" s="111">
        <f>ROUND(H54*Inputs!$G$82+I54*Inputs!$G$84+J54*Inputs!$G$83,0)</f>
        <v>569</v>
      </c>
      <c r="M54" s="111">
        <f t="shared" si="5"/>
        <v>0</v>
      </c>
    </row>
    <row r="55" spans="2:13" ht="22" x14ac:dyDescent="0.2">
      <c r="B55" s="236" t="s">
        <v>263</v>
      </c>
      <c r="C55" s="21">
        <v>4</v>
      </c>
      <c r="D55" s="111">
        <v>0</v>
      </c>
      <c r="E55" s="21">
        <v>1</v>
      </c>
      <c r="F55" s="154">
        <f t="shared" si="0"/>
        <v>4</v>
      </c>
      <c r="G55" s="154">
        <f>Inputs!J7</f>
        <v>1</v>
      </c>
      <c r="H55" s="154">
        <f t="shared" si="1"/>
        <v>4</v>
      </c>
      <c r="I55" s="154">
        <f t="shared" si="2"/>
        <v>0.4</v>
      </c>
      <c r="J55" s="154">
        <f t="shared" si="3"/>
        <v>0.2</v>
      </c>
      <c r="K55" s="154">
        <f t="shared" si="6"/>
        <v>4.6000000000000005</v>
      </c>
      <c r="L55" s="111">
        <f>ROUND(H55*Inputs!$G$82+I55*Inputs!$G$84+J55*Inputs!$G$83,0)</f>
        <v>455</v>
      </c>
      <c r="M55" s="111">
        <f t="shared" si="5"/>
        <v>0</v>
      </c>
    </row>
    <row r="56" spans="2:13" ht="22" x14ac:dyDescent="0.2">
      <c r="B56" s="236" t="s">
        <v>264</v>
      </c>
      <c r="C56" s="237">
        <v>4</v>
      </c>
      <c r="D56" s="238">
        <v>0</v>
      </c>
      <c r="E56" s="237">
        <v>1</v>
      </c>
      <c r="F56" s="239">
        <f t="shared" si="0"/>
        <v>4</v>
      </c>
      <c r="G56" s="239">
        <f>G37</f>
        <v>1</v>
      </c>
      <c r="H56" s="239">
        <f t="shared" si="1"/>
        <v>4</v>
      </c>
      <c r="I56" s="239">
        <f t="shared" si="2"/>
        <v>0.4</v>
      </c>
      <c r="J56" s="239">
        <f t="shared" si="3"/>
        <v>0.2</v>
      </c>
      <c r="K56" s="239">
        <f t="shared" si="4"/>
        <v>4.6000000000000005</v>
      </c>
      <c r="L56" s="238">
        <f>ROUND(H56*Inputs!$G$82+I56*Inputs!$G$84+J56*Inputs!$G$83,0)</f>
        <v>455</v>
      </c>
      <c r="M56" s="238">
        <f t="shared" si="5"/>
        <v>0</v>
      </c>
    </row>
    <row r="57" spans="2:13" x14ac:dyDescent="0.2">
      <c r="B57" s="179" t="s">
        <v>158</v>
      </c>
      <c r="C57" s="21"/>
      <c r="D57" s="111"/>
      <c r="E57" s="21"/>
      <c r="F57" s="154"/>
      <c r="G57" s="154"/>
      <c r="H57" s="154"/>
      <c r="I57" s="154"/>
      <c r="J57" s="154"/>
      <c r="K57" s="154"/>
      <c r="L57" s="111"/>
      <c r="M57" s="111"/>
    </row>
    <row r="58" spans="2:13" x14ac:dyDescent="0.2">
      <c r="B58" s="178" t="s">
        <v>108</v>
      </c>
      <c r="C58" s="21">
        <v>5</v>
      </c>
      <c r="D58" s="111">
        <v>0</v>
      </c>
      <c r="E58" s="21">
        <v>2</v>
      </c>
      <c r="F58" s="154">
        <f t="shared" ref="F58:F68" si="13">C58*E58</f>
        <v>10</v>
      </c>
      <c r="G58" s="154">
        <f>G10</f>
        <v>13</v>
      </c>
      <c r="H58" s="154">
        <f t="shared" ref="H58:H68" si="14">G58*F58</f>
        <v>130</v>
      </c>
      <c r="I58" s="154">
        <f t="shared" ref="I58:I68" si="15">H58*0.1</f>
        <v>13</v>
      </c>
      <c r="J58" s="154">
        <f t="shared" ref="J58:J68" si="16">H58*0.05</f>
        <v>6.5</v>
      </c>
      <c r="K58" s="154">
        <f t="shared" ref="K58:K68" si="17">SUM(H58:J58)</f>
        <v>149.5</v>
      </c>
      <c r="L58" s="111">
        <f>ROUND(H58*Inputs!$G$82+I58*Inputs!$G$84+J58*Inputs!$G$83,0)</f>
        <v>14797</v>
      </c>
      <c r="M58" s="111">
        <f t="shared" ref="M58:M68" si="18">D58*E58*G58</f>
        <v>0</v>
      </c>
    </row>
    <row r="59" spans="2:13" x14ac:dyDescent="0.2">
      <c r="B59" s="178" t="s">
        <v>109</v>
      </c>
      <c r="C59" s="21">
        <v>10</v>
      </c>
      <c r="D59" s="111">
        <v>0</v>
      </c>
      <c r="E59" s="21">
        <v>2</v>
      </c>
      <c r="F59" s="154">
        <f t="shared" si="13"/>
        <v>20</v>
      </c>
      <c r="G59" s="154">
        <f>G13</f>
        <v>13</v>
      </c>
      <c r="H59" s="154">
        <f t="shared" si="14"/>
        <v>260</v>
      </c>
      <c r="I59" s="154">
        <f t="shared" si="15"/>
        <v>26</v>
      </c>
      <c r="J59" s="154">
        <f t="shared" si="16"/>
        <v>13</v>
      </c>
      <c r="K59" s="154">
        <f t="shared" si="17"/>
        <v>299</v>
      </c>
      <c r="L59" s="111">
        <f>ROUND(H59*Inputs!$G$82+I59*Inputs!$G$84+J59*Inputs!$G$83,0)</f>
        <v>29594</v>
      </c>
      <c r="M59" s="111">
        <f t="shared" si="18"/>
        <v>0</v>
      </c>
    </row>
    <row r="60" spans="2:13" x14ac:dyDescent="0.2">
      <c r="B60" s="178" t="s">
        <v>230</v>
      </c>
      <c r="C60" s="21">
        <v>4</v>
      </c>
      <c r="D60" s="111">
        <v>0</v>
      </c>
      <c r="E60" s="21">
        <v>2</v>
      </c>
      <c r="F60" s="154">
        <f t="shared" si="13"/>
        <v>8</v>
      </c>
      <c r="G60" s="154">
        <f>G25</f>
        <v>13</v>
      </c>
      <c r="H60" s="154">
        <f t="shared" si="14"/>
        <v>104</v>
      </c>
      <c r="I60" s="154">
        <f t="shared" si="15"/>
        <v>10.4</v>
      </c>
      <c r="J60" s="154">
        <f t="shared" si="16"/>
        <v>5.2</v>
      </c>
      <c r="K60" s="154">
        <f t="shared" si="17"/>
        <v>119.60000000000001</v>
      </c>
      <c r="L60" s="111">
        <f>ROUND(H60*Inputs!$G$82+I60*Inputs!$G$84+J60*Inputs!$G$83,0)</f>
        <v>11838</v>
      </c>
      <c r="M60" s="111">
        <f t="shared" si="18"/>
        <v>0</v>
      </c>
    </row>
    <row r="61" spans="2:13" x14ac:dyDescent="0.2">
      <c r="B61" s="178" t="s">
        <v>241</v>
      </c>
      <c r="C61" s="21">
        <v>4</v>
      </c>
      <c r="D61" s="111">
        <v>0</v>
      </c>
      <c r="E61" s="21">
        <v>2</v>
      </c>
      <c r="F61" s="154">
        <f t="shared" ref="F61" si="19">C61*E61</f>
        <v>8</v>
      </c>
      <c r="G61" s="154">
        <f>G26</f>
        <v>13</v>
      </c>
      <c r="H61" s="154">
        <f t="shared" ref="H61" si="20">G61*F61</f>
        <v>104</v>
      </c>
      <c r="I61" s="154">
        <f t="shared" ref="I61" si="21">H61*0.1</f>
        <v>10.4</v>
      </c>
      <c r="J61" s="154">
        <f t="shared" ref="J61" si="22">H61*0.05</f>
        <v>5.2</v>
      </c>
      <c r="K61" s="154">
        <f t="shared" ref="K61" si="23">SUM(H61:J61)</f>
        <v>119.60000000000001</v>
      </c>
      <c r="L61" s="111">
        <f>ROUND(H61*Inputs!$G$82+I61*Inputs!$G$84+J61*Inputs!$G$83,0)</f>
        <v>11838</v>
      </c>
      <c r="M61" s="111">
        <f t="shared" ref="M61" si="24">D61*E61*G61</f>
        <v>0</v>
      </c>
    </row>
    <row r="62" spans="2:13" ht="12" x14ac:dyDescent="0.2">
      <c r="B62" s="178" t="s">
        <v>265</v>
      </c>
      <c r="C62" s="21">
        <v>4</v>
      </c>
      <c r="D62" s="111">
        <v>0</v>
      </c>
      <c r="E62" s="21">
        <v>2</v>
      </c>
      <c r="F62" s="154">
        <f t="shared" si="13"/>
        <v>8</v>
      </c>
      <c r="G62" s="154">
        <v>0</v>
      </c>
      <c r="H62" s="154">
        <f t="shared" si="14"/>
        <v>0</v>
      </c>
      <c r="I62" s="154">
        <f t="shared" si="15"/>
        <v>0</v>
      </c>
      <c r="J62" s="154">
        <f t="shared" si="16"/>
        <v>0</v>
      </c>
      <c r="K62" s="154">
        <f t="shared" si="17"/>
        <v>0</v>
      </c>
      <c r="L62" s="111">
        <f>ROUND(H62*Inputs!$G$82+I62*Inputs!$G$84+J62*Inputs!$G$83,0)</f>
        <v>0</v>
      </c>
      <c r="M62" s="111">
        <f t="shared" si="18"/>
        <v>0</v>
      </c>
    </row>
    <row r="63" spans="2:13" x14ac:dyDescent="0.2">
      <c r="B63" s="178" t="s">
        <v>232</v>
      </c>
      <c r="C63" s="21">
        <v>3</v>
      </c>
      <c r="D63" s="111">
        <v>0</v>
      </c>
      <c r="E63" s="21">
        <v>2</v>
      </c>
      <c r="F63" s="154">
        <f t="shared" si="13"/>
        <v>6</v>
      </c>
      <c r="G63" s="154">
        <f>G17</f>
        <v>13</v>
      </c>
      <c r="H63" s="154">
        <f t="shared" si="14"/>
        <v>78</v>
      </c>
      <c r="I63" s="154">
        <f t="shared" si="15"/>
        <v>7.8000000000000007</v>
      </c>
      <c r="J63" s="154">
        <f t="shared" si="16"/>
        <v>3.9000000000000004</v>
      </c>
      <c r="K63" s="154">
        <f t="shared" si="17"/>
        <v>89.7</v>
      </c>
      <c r="L63" s="111">
        <f>ROUND(H63*Inputs!$G$82+I63*Inputs!$G$84+J63*Inputs!$G$83,0)</f>
        <v>8878</v>
      </c>
      <c r="M63" s="111">
        <f t="shared" si="18"/>
        <v>0</v>
      </c>
    </row>
    <row r="64" spans="2:13" ht="20" x14ac:dyDescent="0.2">
      <c r="B64" s="236" t="s">
        <v>233</v>
      </c>
      <c r="C64" s="21">
        <v>3</v>
      </c>
      <c r="D64" s="111">
        <v>0</v>
      </c>
      <c r="E64" s="21">
        <v>2</v>
      </c>
      <c r="F64" s="154">
        <f t="shared" si="13"/>
        <v>6</v>
      </c>
      <c r="G64" s="154">
        <f>G25</f>
        <v>13</v>
      </c>
      <c r="H64" s="154">
        <f t="shared" si="14"/>
        <v>78</v>
      </c>
      <c r="I64" s="154">
        <f t="shared" si="15"/>
        <v>7.8000000000000007</v>
      </c>
      <c r="J64" s="154">
        <f t="shared" si="16"/>
        <v>3.9000000000000004</v>
      </c>
      <c r="K64" s="154">
        <f t="shared" si="17"/>
        <v>89.7</v>
      </c>
      <c r="L64" s="111">
        <f>ROUND(H64*Inputs!$G$82+I64*Inputs!$G$84+J64*Inputs!$G$83,0)</f>
        <v>8878</v>
      </c>
      <c r="M64" s="111">
        <f t="shared" si="18"/>
        <v>0</v>
      </c>
    </row>
    <row r="65" spans="2:13" ht="12" x14ac:dyDescent="0.2">
      <c r="B65" s="236" t="s">
        <v>266</v>
      </c>
      <c r="C65" s="21">
        <v>3</v>
      </c>
      <c r="D65" s="111">
        <v>0</v>
      </c>
      <c r="E65" s="21">
        <v>2</v>
      </c>
      <c r="F65" s="154">
        <f t="shared" si="13"/>
        <v>6</v>
      </c>
      <c r="G65" s="154">
        <f>G19</f>
        <v>1</v>
      </c>
      <c r="H65" s="154">
        <f t="shared" si="14"/>
        <v>6</v>
      </c>
      <c r="I65" s="154">
        <f t="shared" si="15"/>
        <v>0.60000000000000009</v>
      </c>
      <c r="J65" s="154">
        <f t="shared" si="16"/>
        <v>0.30000000000000004</v>
      </c>
      <c r="K65" s="154">
        <f t="shared" si="17"/>
        <v>6.8999999999999995</v>
      </c>
      <c r="L65" s="111">
        <f>ROUND(H65*Inputs!$G$82+I65*Inputs!$G$84+J65*Inputs!$G$83,0)</f>
        <v>683</v>
      </c>
      <c r="M65" s="111">
        <f t="shared" si="18"/>
        <v>0</v>
      </c>
    </row>
    <row r="66" spans="2:13" x14ac:dyDescent="0.2">
      <c r="B66" s="236" t="s">
        <v>235</v>
      </c>
      <c r="C66" s="21">
        <v>4</v>
      </c>
      <c r="D66" s="111">
        <v>0</v>
      </c>
      <c r="E66" s="21">
        <v>2</v>
      </c>
      <c r="F66" s="154">
        <f t="shared" si="13"/>
        <v>8</v>
      </c>
      <c r="G66" s="154">
        <f>G22</f>
        <v>13</v>
      </c>
      <c r="H66" s="154">
        <f t="shared" si="14"/>
        <v>104</v>
      </c>
      <c r="I66" s="154">
        <f t="shared" si="15"/>
        <v>10.4</v>
      </c>
      <c r="J66" s="154">
        <f t="shared" si="16"/>
        <v>5.2</v>
      </c>
      <c r="K66" s="154">
        <f t="shared" si="17"/>
        <v>119.60000000000001</v>
      </c>
      <c r="L66" s="111">
        <f>ROUND(H66*Inputs!$G$82+I66*Inputs!$G$84+J66*Inputs!$G$83,0)</f>
        <v>11838</v>
      </c>
      <c r="M66" s="111">
        <f t="shared" si="18"/>
        <v>0</v>
      </c>
    </row>
    <row r="67" spans="2:13" ht="22" x14ac:dyDescent="0.2">
      <c r="B67" s="236" t="s">
        <v>267</v>
      </c>
      <c r="C67" s="237">
        <v>4</v>
      </c>
      <c r="D67" s="238">
        <v>0</v>
      </c>
      <c r="E67" s="237">
        <v>2</v>
      </c>
      <c r="F67" s="239">
        <f t="shared" si="13"/>
        <v>8</v>
      </c>
      <c r="G67" s="239">
        <f>G37</f>
        <v>1</v>
      </c>
      <c r="H67" s="239">
        <f t="shared" si="14"/>
        <v>8</v>
      </c>
      <c r="I67" s="239">
        <f t="shared" si="15"/>
        <v>0.8</v>
      </c>
      <c r="J67" s="239">
        <f t="shared" si="16"/>
        <v>0.4</v>
      </c>
      <c r="K67" s="239">
        <f t="shared" si="17"/>
        <v>9.2000000000000011</v>
      </c>
      <c r="L67" s="238">
        <f>ROUND(H67*Inputs!$G$82+I67*Inputs!$G$84+J67*Inputs!$G$83,0)</f>
        <v>911</v>
      </c>
      <c r="M67" s="238">
        <f t="shared" si="18"/>
        <v>0</v>
      </c>
    </row>
    <row r="68" spans="2:13" ht="22" x14ac:dyDescent="0.2">
      <c r="B68" s="236" t="s">
        <v>268</v>
      </c>
      <c r="C68" s="21">
        <v>4</v>
      </c>
      <c r="D68" s="111">
        <v>0</v>
      </c>
      <c r="E68" s="21">
        <v>2</v>
      </c>
      <c r="F68" s="154">
        <f t="shared" si="13"/>
        <v>8</v>
      </c>
      <c r="G68" s="154">
        <f>G55</f>
        <v>1</v>
      </c>
      <c r="H68" s="154">
        <f t="shared" si="14"/>
        <v>8</v>
      </c>
      <c r="I68" s="154">
        <f t="shared" si="15"/>
        <v>0.8</v>
      </c>
      <c r="J68" s="154">
        <f t="shared" si="16"/>
        <v>0.4</v>
      </c>
      <c r="K68" s="154">
        <f t="shared" si="17"/>
        <v>9.2000000000000011</v>
      </c>
      <c r="L68" s="111">
        <f>ROUND(H68*Inputs!$G$82+I68*Inputs!$G$84+J68*Inputs!$G$83,0)</f>
        <v>911</v>
      </c>
      <c r="M68" s="111">
        <f t="shared" si="18"/>
        <v>0</v>
      </c>
    </row>
    <row r="69" spans="2:13" ht="12" x14ac:dyDescent="0.2">
      <c r="B69" s="179" t="s">
        <v>269</v>
      </c>
      <c r="C69" s="21"/>
      <c r="D69" s="111"/>
      <c r="E69" s="21"/>
      <c r="F69" s="154"/>
      <c r="G69" s="154"/>
      <c r="H69" s="154"/>
      <c r="I69" s="154"/>
      <c r="J69" s="154"/>
      <c r="K69" s="154"/>
      <c r="L69" s="111"/>
      <c r="M69" s="111"/>
    </row>
    <row r="70" spans="2:13" x14ac:dyDescent="0.2">
      <c r="B70" s="236" t="s">
        <v>198</v>
      </c>
      <c r="C70" s="21">
        <v>10</v>
      </c>
      <c r="D70" s="111">
        <v>0</v>
      </c>
      <c r="E70" s="21">
        <v>1</v>
      </c>
      <c r="F70" s="154">
        <f t="shared" ref="F70:F72" si="25">C70*E70</f>
        <v>10</v>
      </c>
      <c r="G70" s="154">
        <v>13</v>
      </c>
      <c r="H70" s="154">
        <f t="shared" ref="H70:H72" si="26">G70*F70</f>
        <v>130</v>
      </c>
      <c r="I70" s="154">
        <f t="shared" ref="I70:I72" si="27">H70*0.1</f>
        <v>13</v>
      </c>
      <c r="J70" s="154">
        <f t="shared" ref="J70:J72" si="28">H70*0.05</f>
        <v>6.5</v>
      </c>
      <c r="K70" s="154">
        <f t="shared" ref="K70:K72" si="29">SUM(H70:J70)</f>
        <v>149.5</v>
      </c>
      <c r="L70" s="111">
        <f>ROUND(H70*Inputs!$G$82+I70*Inputs!$G$84+J70*Inputs!$G$83,0)</f>
        <v>14797</v>
      </c>
      <c r="M70" s="111">
        <f t="shared" ref="M70:M72" si="30">D70*E70*G70</f>
        <v>0</v>
      </c>
    </row>
    <row r="71" spans="2:13" x14ac:dyDescent="0.2">
      <c r="B71" s="236" t="s">
        <v>199</v>
      </c>
      <c r="C71" s="21">
        <v>10</v>
      </c>
      <c r="D71" s="111">
        <v>0</v>
      </c>
      <c r="E71" s="21">
        <v>1</v>
      </c>
      <c r="F71" s="154">
        <f t="shared" si="25"/>
        <v>10</v>
      </c>
      <c r="G71" s="154">
        <v>19</v>
      </c>
      <c r="H71" s="154">
        <f t="shared" si="26"/>
        <v>190</v>
      </c>
      <c r="I71" s="154">
        <f t="shared" si="27"/>
        <v>19</v>
      </c>
      <c r="J71" s="154">
        <f t="shared" si="28"/>
        <v>9.5</v>
      </c>
      <c r="K71" s="154">
        <f t="shared" si="29"/>
        <v>218.5</v>
      </c>
      <c r="L71" s="111">
        <f>ROUND(H71*Inputs!$G$82+I71*Inputs!$G$84+J71*Inputs!$G$83,0)</f>
        <v>21627</v>
      </c>
      <c r="M71" s="111">
        <f t="shared" si="30"/>
        <v>0</v>
      </c>
    </row>
    <row r="72" spans="2:13" x14ac:dyDescent="0.2">
      <c r="B72" s="236" t="s">
        <v>200</v>
      </c>
      <c r="C72" s="21">
        <v>4</v>
      </c>
      <c r="D72" s="111">
        <v>0</v>
      </c>
      <c r="E72" s="21">
        <v>4</v>
      </c>
      <c r="F72" s="154">
        <f t="shared" si="25"/>
        <v>16</v>
      </c>
      <c r="G72" s="154">
        <v>13</v>
      </c>
      <c r="H72" s="154">
        <f t="shared" si="26"/>
        <v>208</v>
      </c>
      <c r="I72" s="154">
        <f t="shared" si="27"/>
        <v>20.8</v>
      </c>
      <c r="J72" s="154">
        <f t="shared" si="28"/>
        <v>10.4</v>
      </c>
      <c r="K72" s="154">
        <f t="shared" si="29"/>
        <v>239.20000000000002</v>
      </c>
      <c r="L72" s="111">
        <f>ROUND(H72*Inputs!$G$82+I72*Inputs!$G$84+J72*Inputs!$G$83,0)</f>
        <v>23675</v>
      </c>
      <c r="M72" s="111">
        <f t="shared" si="30"/>
        <v>0</v>
      </c>
    </row>
    <row r="73" spans="2:13" x14ac:dyDescent="0.2">
      <c r="B73" s="180" t="s">
        <v>67</v>
      </c>
      <c r="C73" s="21"/>
      <c r="D73" s="111"/>
      <c r="E73" s="21"/>
      <c r="F73" s="21"/>
      <c r="G73" s="154"/>
      <c r="H73" s="221">
        <f>SUM(H7:H72)</f>
        <v>2071</v>
      </c>
      <c r="I73" s="221">
        <f>SUM(I7:I72)</f>
        <v>207.10000000000008</v>
      </c>
      <c r="J73" s="221">
        <f>SUM(J7:J72)</f>
        <v>103.55000000000004</v>
      </c>
      <c r="K73" s="221">
        <f>SUM(K7:K72)</f>
        <v>2381.6499999999996</v>
      </c>
      <c r="L73" s="222">
        <f>SUM(L7:L72)</f>
        <v>235730</v>
      </c>
      <c r="M73" s="222">
        <f>SUM(M7:M72)-M10-M13-M16-M40-M43-M19-M22-M25-M28-M31-M34-M37</f>
        <v>4628790.2857142864</v>
      </c>
    </row>
    <row r="74" spans="2:13" x14ac:dyDescent="0.2">
      <c r="B74" s="175" t="s">
        <v>53</v>
      </c>
      <c r="C74" s="21"/>
      <c r="D74" s="111"/>
      <c r="E74" s="21"/>
      <c r="F74" s="21"/>
      <c r="G74" s="154"/>
      <c r="H74" s="21"/>
      <c r="I74" s="22"/>
      <c r="J74" s="22"/>
      <c r="K74" s="22"/>
      <c r="L74" s="111"/>
      <c r="M74" s="111"/>
    </row>
    <row r="75" spans="2:13" x14ac:dyDescent="0.2">
      <c r="B75" s="176" t="s">
        <v>54</v>
      </c>
      <c r="C75" s="21" t="s">
        <v>95</v>
      </c>
      <c r="D75" s="111"/>
      <c r="E75" s="21"/>
      <c r="F75" s="21"/>
      <c r="G75" s="154"/>
      <c r="H75" s="21"/>
      <c r="I75" s="22"/>
      <c r="J75" s="22"/>
      <c r="K75" s="22"/>
      <c r="L75" s="111"/>
      <c r="M75" s="111"/>
    </row>
    <row r="76" spans="2:13" x14ac:dyDescent="0.2">
      <c r="B76" s="176" t="s">
        <v>91</v>
      </c>
      <c r="C76" s="153" t="s">
        <v>58</v>
      </c>
      <c r="D76" s="111"/>
      <c r="E76" s="21"/>
      <c r="F76" s="21"/>
      <c r="G76" s="154"/>
      <c r="H76" s="21"/>
      <c r="I76" s="22"/>
      <c r="J76" s="22"/>
      <c r="K76" s="22"/>
      <c r="L76" s="111"/>
      <c r="M76" s="111"/>
    </row>
    <row r="77" spans="2:13" x14ac:dyDescent="0.2">
      <c r="B77" s="176" t="s">
        <v>55</v>
      </c>
      <c r="C77" s="153" t="s">
        <v>58</v>
      </c>
      <c r="D77" s="111"/>
      <c r="E77" s="21"/>
      <c r="F77" s="21"/>
      <c r="G77" s="154"/>
      <c r="H77" s="21"/>
      <c r="I77" s="22"/>
      <c r="J77" s="22"/>
      <c r="K77" s="22"/>
      <c r="L77" s="111"/>
      <c r="M77" s="111"/>
    </row>
    <row r="78" spans="2:13" x14ac:dyDescent="0.2">
      <c r="B78" s="176" t="s">
        <v>68</v>
      </c>
      <c r="C78" s="21"/>
      <c r="D78" s="111"/>
      <c r="E78" s="21"/>
      <c r="F78" s="21"/>
      <c r="G78" s="154"/>
      <c r="H78" s="21"/>
      <c r="I78" s="22"/>
      <c r="J78" s="22"/>
      <c r="K78" s="22"/>
      <c r="L78" s="111"/>
      <c r="M78" s="111"/>
    </row>
    <row r="79" spans="2:13" x14ac:dyDescent="0.2">
      <c r="B79" s="179" t="s">
        <v>237</v>
      </c>
      <c r="C79" s="21">
        <v>0.4</v>
      </c>
      <c r="D79" s="111">
        <v>0</v>
      </c>
      <c r="E79" s="21">
        <v>365</v>
      </c>
      <c r="F79" s="21">
        <f t="shared" ref="F79:F81" si="31">C79*E79</f>
        <v>146</v>
      </c>
      <c r="G79" s="154">
        <f>G58</f>
        <v>13</v>
      </c>
      <c r="H79" s="154">
        <f t="shared" ref="H79:H95" si="32">G79*F79</f>
        <v>1898</v>
      </c>
      <c r="I79" s="154">
        <f t="shared" ref="I79:I95" si="33">H79*0.1</f>
        <v>189.8</v>
      </c>
      <c r="J79" s="154">
        <f t="shared" ref="J79:J95" si="34">H79*0.05</f>
        <v>94.9</v>
      </c>
      <c r="K79" s="156">
        <f t="shared" ref="K79:K95" si="35">SUM(H79:J79)</f>
        <v>2182.7000000000003</v>
      </c>
      <c r="L79" s="111">
        <f>ROUND(H79*Inputs!$G$82+I79*Inputs!$G$84+J79*Inputs!$G$83,0)</f>
        <v>216038</v>
      </c>
      <c r="M79" s="111">
        <f t="shared" ref="M79:M95" si="36">D79*E79*G79</f>
        <v>0</v>
      </c>
    </row>
    <row r="80" spans="2:13" x14ac:dyDescent="0.2">
      <c r="B80" s="179" t="s">
        <v>238</v>
      </c>
      <c r="C80" s="21">
        <v>10</v>
      </c>
      <c r="D80" s="111">
        <v>0</v>
      </c>
      <c r="E80" s="21">
        <v>1</v>
      </c>
      <c r="F80" s="21">
        <f t="shared" si="31"/>
        <v>10</v>
      </c>
      <c r="G80" s="154">
        <f>G59</f>
        <v>13</v>
      </c>
      <c r="H80" s="154">
        <f t="shared" si="32"/>
        <v>130</v>
      </c>
      <c r="I80" s="154">
        <f t="shared" si="33"/>
        <v>13</v>
      </c>
      <c r="J80" s="154">
        <f t="shared" si="34"/>
        <v>6.5</v>
      </c>
      <c r="K80" s="156">
        <f t="shared" si="35"/>
        <v>149.5</v>
      </c>
      <c r="L80" s="111">
        <f>ROUND(H80*Inputs!$G$82+I80*Inputs!$G$84+J80*Inputs!$G$83,0)</f>
        <v>14797</v>
      </c>
      <c r="M80" s="111">
        <f t="shared" si="36"/>
        <v>0</v>
      </c>
    </row>
    <row r="81" spans="2:13" ht="12" x14ac:dyDescent="0.2">
      <c r="B81" s="179" t="s">
        <v>270</v>
      </c>
      <c r="C81" s="21">
        <v>0</v>
      </c>
      <c r="D81" s="111">
        <v>0</v>
      </c>
      <c r="E81" s="21">
        <v>1</v>
      </c>
      <c r="F81" s="21">
        <f t="shared" si="31"/>
        <v>0</v>
      </c>
      <c r="G81" s="154">
        <v>0</v>
      </c>
      <c r="H81" s="154">
        <f t="shared" si="32"/>
        <v>0</v>
      </c>
      <c r="I81" s="154">
        <f t="shared" si="33"/>
        <v>0</v>
      </c>
      <c r="J81" s="154">
        <f t="shared" si="34"/>
        <v>0</v>
      </c>
      <c r="K81" s="156">
        <f t="shared" si="35"/>
        <v>0</v>
      </c>
      <c r="L81" s="111">
        <f>ROUND(H81*Inputs!$G$82+I81*Inputs!$G$84+J81*Inputs!$G$83,0)</f>
        <v>0</v>
      </c>
      <c r="M81" s="111">
        <f t="shared" si="36"/>
        <v>0</v>
      </c>
    </row>
    <row r="82" spans="2:13" x14ac:dyDescent="0.2">
      <c r="B82" s="179" t="s">
        <v>239</v>
      </c>
      <c r="C82" s="21">
        <v>1</v>
      </c>
      <c r="D82" s="111">
        <v>0</v>
      </c>
      <c r="E82" s="21">
        <v>1</v>
      </c>
      <c r="F82" s="21">
        <f>C82*E82</f>
        <v>1</v>
      </c>
      <c r="G82" s="154">
        <f>G60</f>
        <v>13</v>
      </c>
      <c r="H82" s="154">
        <f t="shared" si="32"/>
        <v>13</v>
      </c>
      <c r="I82" s="154">
        <f t="shared" si="33"/>
        <v>1.3</v>
      </c>
      <c r="J82" s="154">
        <f t="shared" si="34"/>
        <v>0.65</v>
      </c>
      <c r="K82" s="156">
        <f t="shared" si="35"/>
        <v>14.950000000000001</v>
      </c>
      <c r="L82" s="111">
        <f>ROUND(H82*Inputs!$G$82+I82*Inputs!$G$84+J82*Inputs!$G$83,0)</f>
        <v>1480</v>
      </c>
      <c r="M82" s="111">
        <f t="shared" si="36"/>
        <v>0</v>
      </c>
    </row>
    <row r="83" spans="2:13" x14ac:dyDescent="0.2">
      <c r="B83" s="179" t="s">
        <v>243</v>
      </c>
      <c r="C83" s="21">
        <v>1</v>
      </c>
      <c r="D83" s="111">
        <v>0</v>
      </c>
      <c r="E83" s="21">
        <v>1</v>
      </c>
      <c r="F83" s="21">
        <f>C83*E83</f>
        <v>1</v>
      </c>
      <c r="G83" s="154">
        <f>G61</f>
        <v>13</v>
      </c>
      <c r="H83" s="154">
        <f t="shared" ref="H83" si="37">G83*F83</f>
        <v>13</v>
      </c>
      <c r="I83" s="154">
        <f t="shared" ref="I83" si="38">H83*0.1</f>
        <v>1.3</v>
      </c>
      <c r="J83" s="154">
        <f t="shared" ref="J83" si="39">H83*0.05</f>
        <v>0.65</v>
      </c>
      <c r="K83" s="156">
        <f t="shared" ref="K83" si="40">SUM(H83:J83)</f>
        <v>14.950000000000001</v>
      </c>
      <c r="L83" s="111">
        <f>ROUND(H83*Inputs!$G$82+I83*Inputs!$G$84+J83*Inputs!$G$83,0)</f>
        <v>1480</v>
      </c>
      <c r="M83" s="111">
        <f t="shared" ref="M83" si="41">D83*E83*G83</f>
        <v>0</v>
      </c>
    </row>
    <row r="84" spans="2:13" ht="12" x14ac:dyDescent="0.2">
      <c r="B84" s="179" t="s">
        <v>271</v>
      </c>
      <c r="C84" s="21">
        <v>0</v>
      </c>
      <c r="D84" s="111">
        <v>0</v>
      </c>
      <c r="E84" s="21">
        <v>1</v>
      </c>
      <c r="F84" s="21">
        <f t="shared" ref="F84:F95" si="42">C84*E84</f>
        <v>0</v>
      </c>
      <c r="G84" s="154">
        <f>G62</f>
        <v>0</v>
      </c>
      <c r="H84" s="154">
        <f t="shared" si="32"/>
        <v>0</v>
      </c>
      <c r="I84" s="154">
        <f t="shared" si="33"/>
        <v>0</v>
      </c>
      <c r="J84" s="154">
        <f t="shared" si="34"/>
        <v>0</v>
      </c>
      <c r="K84" s="156">
        <f t="shared" si="35"/>
        <v>0</v>
      </c>
      <c r="L84" s="111">
        <f>ROUND(H84*Inputs!$G$82+I84*Inputs!$G$84+J84*Inputs!$G$83,0)</f>
        <v>0</v>
      </c>
      <c r="M84" s="111">
        <f t="shared" si="36"/>
        <v>0</v>
      </c>
    </row>
    <row r="85" spans="2:13" ht="24" x14ac:dyDescent="0.2">
      <c r="B85" s="177" t="s">
        <v>275</v>
      </c>
      <c r="C85" s="237">
        <v>2</v>
      </c>
      <c r="D85" s="238">
        <v>0</v>
      </c>
      <c r="E85" s="237">
        <v>1</v>
      </c>
      <c r="F85" s="237">
        <f t="shared" si="42"/>
        <v>2</v>
      </c>
      <c r="G85" s="239">
        <f>G56</f>
        <v>1</v>
      </c>
      <c r="H85" s="239">
        <f t="shared" si="32"/>
        <v>2</v>
      </c>
      <c r="I85" s="239">
        <f t="shared" si="33"/>
        <v>0.2</v>
      </c>
      <c r="J85" s="239">
        <f t="shared" si="34"/>
        <v>0.1</v>
      </c>
      <c r="K85" s="156">
        <f t="shared" si="35"/>
        <v>2.3000000000000003</v>
      </c>
      <c r="L85" s="238">
        <f>ROUND(H85*Inputs!$G$82+I85*Inputs!$G$84+J85*Inputs!$G$83,0)</f>
        <v>228</v>
      </c>
      <c r="M85" s="238">
        <f t="shared" si="36"/>
        <v>0</v>
      </c>
    </row>
    <row r="86" spans="2:13" x14ac:dyDescent="0.2">
      <c r="B86" s="179" t="s">
        <v>201</v>
      </c>
      <c r="C86" s="21">
        <v>75</v>
      </c>
      <c r="D86" s="111">
        <v>0</v>
      </c>
      <c r="E86" s="21">
        <v>1</v>
      </c>
      <c r="F86" s="21">
        <f t="shared" si="42"/>
        <v>75</v>
      </c>
      <c r="G86" s="154">
        <f>G58</f>
        <v>13</v>
      </c>
      <c r="H86" s="154">
        <f t="shared" si="32"/>
        <v>975</v>
      </c>
      <c r="I86" s="154">
        <f t="shared" si="33"/>
        <v>97.5</v>
      </c>
      <c r="J86" s="154">
        <f t="shared" si="34"/>
        <v>48.75</v>
      </c>
      <c r="K86" s="156">
        <f t="shared" si="35"/>
        <v>1121.25</v>
      </c>
      <c r="L86" s="111">
        <f>ROUND(H86*Inputs!$G$82+I86*Inputs!$G$84+J86*Inputs!$G$83,0)</f>
        <v>110978</v>
      </c>
      <c r="M86" s="111">
        <f t="shared" si="36"/>
        <v>0</v>
      </c>
    </row>
    <row r="87" spans="2:13" x14ac:dyDescent="0.2">
      <c r="B87" s="179" t="s">
        <v>202</v>
      </c>
      <c r="C87" s="21">
        <v>3</v>
      </c>
      <c r="D87" s="111">
        <v>0</v>
      </c>
      <c r="E87" s="21">
        <v>1</v>
      </c>
      <c r="F87" s="154">
        <f t="shared" si="42"/>
        <v>3</v>
      </c>
      <c r="G87" s="154">
        <f>G64</f>
        <v>13</v>
      </c>
      <c r="H87" s="154">
        <f t="shared" si="32"/>
        <v>39</v>
      </c>
      <c r="I87" s="154">
        <f t="shared" si="33"/>
        <v>3.9000000000000004</v>
      </c>
      <c r="J87" s="154">
        <f t="shared" si="34"/>
        <v>1.9500000000000002</v>
      </c>
      <c r="K87" s="154">
        <f t="shared" si="35"/>
        <v>44.85</v>
      </c>
      <c r="L87" s="111">
        <f>ROUND(H87*Inputs!$G$82+I87*Inputs!$G$84+J87*Inputs!$G$83,0)</f>
        <v>4439</v>
      </c>
      <c r="M87" s="111">
        <f t="shared" si="36"/>
        <v>0</v>
      </c>
    </row>
    <row r="88" spans="2:13" ht="22" x14ac:dyDescent="0.2">
      <c r="B88" s="177" t="s">
        <v>272</v>
      </c>
      <c r="C88" s="21">
        <v>1</v>
      </c>
      <c r="D88" s="111">
        <v>0</v>
      </c>
      <c r="E88" s="21">
        <v>1</v>
      </c>
      <c r="F88" s="154">
        <f t="shared" si="42"/>
        <v>1</v>
      </c>
      <c r="G88" s="154">
        <f>G65</f>
        <v>1</v>
      </c>
      <c r="H88" s="154">
        <f t="shared" si="32"/>
        <v>1</v>
      </c>
      <c r="I88" s="154">
        <f t="shared" si="33"/>
        <v>0.1</v>
      </c>
      <c r="J88" s="154">
        <f t="shared" si="34"/>
        <v>0.05</v>
      </c>
      <c r="K88" s="154">
        <f t="shared" si="35"/>
        <v>1.1500000000000001</v>
      </c>
      <c r="L88" s="111">
        <f>ROUND(H88*Inputs!$G$82+I88*Inputs!$G$84+J88*Inputs!$G$83,0)</f>
        <v>114</v>
      </c>
      <c r="M88" s="111">
        <f t="shared" si="36"/>
        <v>0</v>
      </c>
    </row>
    <row r="89" spans="2:13" ht="22" x14ac:dyDescent="0.2">
      <c r="B89" s="177" t="s">
        <v>273</v>
      </c>
      <c r="C89" s="21">
        <v>1</v>
      </c>
      <c r="D89" s="111">
        <v>0</v>
      </c>
      <c r="E89" s="21">
        <v>1</v>
      </c>
      <c r="F89" s="154">
        <f t="shared" si="42"/>
        <v>1</v>
      </c>
      <c r="G89" s="154">
        <f>G28</f>
        <v>1</v>
      </c>
      <c r="H89" s="154">
        <f t="shared" si="32"/>
        <v>1</v>
      </c>
      <c r="I89" s="154">
        <f t="shared" si="33"/>
        <v>0.1</v>
      </c>
      <c r="J89" s="154">
        <f t="shared" si="34"/>
        <v>0.05</v>
      </c>
      <c r="K89" s="154">
        <f t="shared" si="35"/>
        <v>1.1500000000000001</v>
      </c>
      <c r="L89" s="111">
        <f>ROUND(H89*Inputs!$G$82+I89*Inputs!$G$84+J89*Inputs!$G$83,0)</f>
        <v>114</v>
      </c>
      <c r="M89" s="111">
        <f t="shared" si="36"/>
        <v>0</v>
      </c>
    </row>
    <row r="90" spans="2:13" ht="22" x14ac:dyDescent="0.2">
      <c r="B90" s="177" t="s">
        <v>274</v>
      </c>
      <c r="C90" s="21"/>
      <c r="D90" s="111"/>
      <c r="E90" s="21"/>
      <c r="F90" s="154"/>
      <c r="G90" s="154"/>
      <c r="H90" s="154"/>
      <c r="I90" s="154"/>
      <c r="J90" s="154"/>
      <c r="K90" s="154"/>
      <c r="L90" s="111"/>
      <c r="M90" s="111"/>
    </row>
    <row r="91" spans="2:13" x14ac:dyDescent="0.2">
      <c r="B91" s="179" t="s">
        <v>240</v>
      </c>
      <c r="C91" s="21">
        <v>2</v>
      </c>
      <c r="D91" s="111">
        <v>0</v>
      </c>
      <c r="E91" s="21">
        <v>1</v>
      </c>
      <c r="F91" s="154">
        <f t="shared" si="42"/>
        <v>2</v>
      </c>
      <c r="G91" s="154">
        <f>G66</f>
        <v>13</v>
      </c>
      <c r="H91" s="154">
        <f t="shared" si="32"/>
        <v>26</v>
      </c>
      <c r="I91" s="154">
        <f t="shared" si="33"/>
        <v>2.6</v>
      </c>
      <c r="J91" s="154">
        <f t="shared" si="34"/>
        <v>1.3</v>
      </c>
      <c r="K91" s="154">
        <f t="shared" si="35"/>
        <v>29.900000000000002</v>
      </c>
      <c r="L91" s="111">
        <f>ROUND(H91*Inputs!$G$82+I91*Inputs!$G$84+J91*Inputs!$G$83,0)</f>
        <v>2959</v>
      </c>
      <c r="M91" s="111">
        <f t="shared" si="36"/>
        <v>0</v>
      </c>
    </row>
    <row r="92" spans="2:13" ht="12" x14ac:dyDescent="0.2">
      <c r="B92" s="177" t="s">
        <v>276</v>
      </c>
      <c r="C92" s="21">
        <v>10</v>
      </c>
      <c r="D92" s="111">
        <v>0</v>
      </c>
      <c r="E92" s="21">
        <v>1</v>
      </c>
      <c r="F92" s="21">
        <f t="shared" si="42"/>
        <v>10</v>
      </c>
      <c r="G92" s="154">
        <f>G68</f>
        <v>1</v>
      </c>
      <c r="H92" s="154">
        <f t="shared" si="32"/>
        <v>10</v>
      </c>
      <c r="I92" s="154">
        <f t="shared" si="33"/>
        <v>1</v>
      </c>
      <c r="J92" s="154">
        <f t="shared" si="34"/>
        <v>0.5</v>
      </c>
      <c r="K92" s="156">
        <f t="shared" si="35"/>
        <v>11.5</v>
      </c>
      <c r="L92" s="111">
        <f>ROUND(H92*Inputs!$G$82+I92*Inputs!$G$84+J92*Inputs!$G$83,0)</f>
        <v>1138</v>
      </c>
      <c r="M92" s="111">
        <f t="shared" si="36"/>
        <v>0</v>
      </c>
    </row>
    <row r="93" spans="2:13" ht="22" x14ac:dyDescent="0.2">
      <c r="B93" s="177" t="s">
        <v>277</v>
      </c>
      <c r="C93" s="21">
        <v>0.4</v>
      </c>
      <c r="D93" s="111">
        <v>0</v>
      </c>
      <c r="E93" s="21">
        <v>365</v>
      </c>
      <c r="F93" s="21">
        <f t="shared" si="42"/>
        <v>146</v>
      </c>
      <c r="G93" s="154">
        <f>G72</f>
        <v>13</v>
      </c>
      <c r="H93" s="154">
        <f t="shared" si="32"/>
        <v>1898</v>
      </c>
      <c r="I93" s="154">
        <f t="shared" si="33"/>
        <v>189.8</v>
      </c>
      <c r="J93" s="154">
        <f t="shared" si="34"/>
        <v>94.9</v>
      </c>
      <c r="K93" s="156">
        <f t="shared" si="35"/>
        <v>2182.7000000000003</v>
      </c>
      <c r="L93" s="111">
        <f>ROUND(H93*Inputs!$G$82+I93*Inputs!$G$84+J93*Inputs!$G$83,0)</f>
        <v>216038</v>
      </c>
      <c r="M93" s="111">
        <f t="shared" si="36"/>
        <v>0</v>
      </c>
    </row>
    <row r="94" spans="2:13" ht="12" x14ac:dyDescent="0.2">
      <c r="B94" s="179" t="s">
        <v>278</v>
      </c>
      <c r="C94" s="21">
        <v>1</v>
      </c>
      <c r="D94" s="111">
        <v>0</v>
      </c>
      <c r="E94" s="21">
        <v>365</v>
      </c>
      <c r="F94" s="21">
        <f t="shared" si="42"/>
        <v>365</v>
      </c>
      <c r="G94" s="154">
        <f>G72</f>
        <v>13</v>
      </c>
      <c r="H94" s="154">
        <f t="shared" si="32"/>
        <v>4745</v>
      </c>
      <c r="I94" s="154">
        <f t="shared" si="33"/>
        <v>474.5</v>
      </c>
      <c r="J94" s="154">
        <f t="shared" si="34"/>
        <v>237.25</v>
      </c>
      <c r="K94" s="156">
        <f t="shared" si="35"/>
        <v>5456.75</v>
      </c>
      <c r="L94" s="111">
        <f>ROUND(H94*Inputs!$G$82+I94*Inputs!$G$84+J94*Inputs!$G$83,0)</f>
        <v>540095</v>
      </c>
      <c r="M94" s="111">
        <f t="shared" si="36"/>
        <v>0</v>
      </c>
    </row>
    <row r="95" spans="2:13" ht="12" x14ac:dyDescent="0.2">
      <c r="B95" s="176" t="s">
        <v>279</v>
      </c>
      <c r="C95" s="21">
        <v>16</v>
      </c>
      <c r="D95" s="111">
        <v>0</v>
      </c>
      <c r="E95" s="21">
        <v>1</v>
      </c>
      <c r="F95" s="21">
        <f t="shared" si="42"/>
        <v>16</v>
      </c>
      <c r="G95" s="273">
        <f>G7</f>
        <v>0</v>
      </c>
      <c r="H95" s="154">
        <f t="shared" si="32"/>
        <v>0</v>
      </c>
      <c r="I95" s="154">
        <f t="shared" si="33"/>
        <v>0</v>
      </c>
      <c r="J95" s="154">
        <f t="shared" si="34"/>
        <v>0</v>
      </c>
      <c r="K95" s="156">
        <f t="shared" si="35"/>
        <v>0</v>
      </c>
      <c r="L95" s="111">
        <f>ROUND(H95*Inputs!$G$82+I95*Inputs!$G$84+J95*Inputs!$G$83,0)</f>
        <v>0</v>
      </c>
      <c r="M95" s="111">
        <f t="shared" si="36"/>
        <v>0</v>
      </c>
    </row>
    <row r="96" spans="2:13" x14ac:dyDescent="0.2">
      <c r="B96" s="176" t="s">
        <v>69</v>
      </c>
      <c r="C96" s="21" t="s">
        <v>58</v>
      </c>
      <c r="D96" s="111"/>
      <c r="E96" s="21"/>
      <c r="F96" s="21"/>
      <c r="G96" s="21"/>
      <c r="H96" s="154"/>
      <c r="I96" s="154"/>
      <c r="J96" s="154"/>
      <c r="K96" s="154"/>
      <c r="L96" s="111"/>
      <c r="M96" s="111"/>
    </row>
    <row r="97" spans="2:15" ht="10.5" thickBot="1" x14ac:dyDescent="0.25">
      <c r="B97" s="188" t="s">
        <v>56</v>
      </c>
      <c r="C97" s="189"/>
      <c r="D97" s="189"/>
      <c r="E97" s="189"/>
      <c r="F97" s="189"/>
      <c r="G97" s="189"/>
      <c r="H97" s="223">
        <f t="shared" ref="H97:M97" si="43">SUM(H79:H95)</f>
        <v>9751</v>
      </c>
      <c r="I97" s="223">
        <f t="shared" si="43"/>
        <v>975.10000000000014</v>
      </c>
      <c r="J97" s="223">
        <f t="shared" si="43"/>
        <v>487.55000000000007</v>
      </c>
      <c r="K97" s="223">
        <f t="shared" si="43"/>
        <v>11213.650000000001</v>
      </c>
      <c r="L97" s="224">
        <f t="shared" si="43"/>
        <v>1109898</v>
      </c>
      <c r="M97" s="224">
        <f t="shared" si="43"/>
        <v>0</v>
      </c>
    </row>
    <row r="98" spans="2:15" s="151" customFormat="1" ht="13.5" customHeight="1" thickTop="1" x14ac:dyDescent="0.35">
      <c r="B98" s="186" t="s">
        <v>31</v>
      </c>
      <c r="C98" s="187"/>
      <c r="D98" s="187"/>
      <c r="E98" s="187"/>
      <c r="F98" s="187"/>
      <c r="G98" s="187"/>
      <c r="H98" s="225">
        <f t="shared" ref="H98:M98" si="44">H97+H73</f>
        <v>11822</v>
      </c>
      <c r="I98" s="225">
        <f t="shared" si="44"/>
        <v>1182.2000000000003</v>
      </c>
      <c r="J98" s="225">
        <f t="shared" si="44"/>
        <v>591.10000000000014</v>
      </c>
      <c r="K98" s="225">
        <f t="shared" si="44"/>
        <v>13595.300000000001</v>
      </c>
      <c r="L98" s="226">
        <f t="shared" si="44"/>
        <v>1345628</v>
      </c>
      <c r="M98" s="226">
        <f t="shared" si="44"/>
        <v>4628790.2857142864</v>
      </c>
      <c r="O98" s="152"/>
    </row>
    <row r="99" spans="2:15" ht="7.5" customHeight="1" x14ac:dyDescent="0.2">
      <c r="B99" s="181"/>
      <c r="G99" s="11"/>
      <c r="H99" s="9"/>
      <c r="I99" s="10"/>
      <c r="J99" s="10"/>
      <c r="K99" s="12"/>
      <c r="L99" s="12"/>
      <c r="M99" s="12"/>
    </row>
    <row r="100" spans="2:15" x14ac:dyDescent="0.2">
      <c r="B100" s="181"/>
      <c r="G100" s="9"/>
      <c r="H100" s="9"/>
      <c r="I100" s="10"/>
      <c r="J100" s="144" t="s">
        <v>51</v>
      </c>
      <c r="K100" s="144" t="s">
        <v>70</v>
      </c>
      <c r="L100" s="155" t="s">
        <v>71</v>
      </c>
      <c r="M100" s="155" t="s">
        <v>43</v>
      </c>
    </row>
    <row r="101" spans="2:15" x14ac:dyDescent="0.2">
      <c r="B101" s="181"/>
      <c r="G101" s="145" t="s">
        <v>72</v>
      </c>
      <c r="H101" s="146"/>
      <c r="I101" s="150"/>
      <c r="J101" s="144">
        <f>H98+I98+J98</f>
        <v>13595.300000000001</v>
      </c>
      <c r="K101" s="117">
        <f>L98</f>
        <v>1345628</v>
      </c>
      <c r="L101" s="117">
        <f>M98</f>
        <v>4628790.2857142864</v>
      </c>
      <c r="M101" s="117">
        <f>L101+K101</f>
        <v>5974418.2857142864</v>
      </c>
    </row>
    <row r="102" spans="2:15" ht="7.5" customHeight="1" x14ac:dyDescent="0.2">
      <c r="B102" s="181"/>
      <c r="G102" s="11"/>
      <c r="H102" s="9"/>
      <c r="I102" s="10"/>
      <c r="J102" s="10"/>
      <c r="K102" s="12"/>
      <c r="L102" s="12"/>
      <c r="M102" s="12"/>
    </row>
    <row r="103" spans="2:15" x14ac:dyDescent="0.2">
      <c r="B103" s="181"/>
      <c r="G103" s="145" t="s">
        <v>73</v>
      </c>
      <c r="H103" s="146"/>
      <c r="I103" s="147"/>
      <c r="J103" s="147"/>
      <c r="K103" s="148"/>
      <c r="L103" s="149"/>
      <c r="M103" s="117">
        <f>L7++M10+M13+M16+M40+M43</f>
        <v>5144862</v>
      </c>
    </row>
    <row r="104" spans="2:15" x14ac:dyDescent="0.2">
      <c r="B104" s="182"/>
      <c r="C104" s="183"/>
      <c r="D104" s="183"/>
      <c r="E104" s="183"/>
      <c r="F104" s="183"/>
      <c r="G104" s="145" t="s">
        <v>74</v>
      </c>
      <c r="H104" s="184"/>
      <c r="I104" s="184"/>
      <c r="J104" s="184"/>
      <c r="K104" s="148"/>
      <c r="L104" s="185"/>
      <c r="M104" s="117">
        <f>M98</f>
        <v>4628790.2857142864</v>
      </c>
    </row>
    <row r="105" spans="2:15" ht="8.25" customHeight="1" x14ac:dyDescent="0.2"/>
    <row r="106" spans="2:15" x14ac:dyDescent="0.2">
      <c r="B106" s="17" t="s">
        <v>86</v>
      </c>
      <c r="L106" s="23"/>
    </row>
    <row r="107" spans="2:15" ht="21" customHeight="1" x14ac:dyDescent="0.2">
      <c r="B107" s="298" t="s">
        <v>296</v>
      </c>
      <c r="C107" s="298"/>
      <c r="D107" s="298"/>
      <c r="E107" s="298"/>
      <c r="F107" s="298"/>
      <c r="G107" s="298"/>
      <c r="H107" s="298"/>
      <c r="I107" s="298"/>
      <c r="J107" s="298"/>
      <c r="K107" s="298"/>
      <c r="L107" s="298"/>
      <c r="M107" s="298"/>
    </row>
    <row r="108" spans="2:15" ht="43.15" customHeight="1" x14ac:dyDescent="0.2">
      <c r="B108" s="298" t="s">
        <v>280</v>
      </c>
      <c r="C108" s="298"/>
      <c r="D108" s="298"/>
      <c r="E108" s="298"/>
      <c r="F108" s="298"/>
      <c r="G108" s="298"/>
      <c r="H108" s="298"/>
      <c r="I108" s="298"/>
      <c r="J108" s="298"/>
      <c r="K108" s="298"/>
      <c r="L108" s="298"/>
      <c r="M108" s="298"/>
    </row>
    <row r="109" spans="2:15" ht="12" customHeight="1" x14ac:dyDescent="0.2">
      <c r="B109" s="298" t="s">
        <v>281</v>
      </c>
      <c r="C109" s="298"/>
      <c r="D109" s="298"/>
      <c r="E109" s="298"/>
      <c r="F109" s="298"/>
      <c r="G109" s="298"/>
      <c r="H109" s="298"/>
      <c r="I109" s="298"/>
      <c r="J109" s="298"/>
      <c r="K109" s="298"/>
      <c r="L109" s="298"/>
      <c r="M109" s="298"/>
    </row>
    <row r="110" spans="2:15" ht="10.15" customHeight="1" x14ac:dyDescent="0.2">
      <c r="B110" s="300" t="s">
        <v>282</v>
      </c>
      <c r="C110" s="300"/>
      <c r="D110" s="300"/>
      <c r="E110" s="300"/>
      <c r="F110" s="300"/>
      <c r="G110" s="300"/>
      <c r="H110" s="300"/>
      <c r="I110" s="300"/>
      <c r="J110" s="300"/>
      <c r="K110" s="300"/>
      <c r="L110" s="300"/>
      <c r="M110" s="300"/>
    </row>
    <row r="111" spans="2:15" ht="10.15" customHeight="1" x14ac:dyDescent="0.2">
      <c r="B111" s="298" t="s">
        <v>297</v>
      </c>
      <c r="C111" s="298"/>
      <c r="D111" s="298"/>
      <c r="E111" s="298"/>
      <c r="F111" s="298"/>
      <c r="G111" s="298"/>
      <c r="H111" s="298"/>
      <c r="I111" s="298"/>
      <c r="J111" s="298"/>
      <c r="K111" s="298"/>
      <c r="L111" s="298"/>
      <c r="M111" s="298"/>
    </row>
    <row r="112" spans="2:15" ht="10.15" customHeight="1" x14ac:dyDescent="0.2">
      <c r="B112" s="298" t="s">
        <v>298</v>
      </c>
      <c r="C112" s="298"/>
      <c r="D112" s="298"/>
      <c r="E112" s="298"/>
      <c r="F112" s="298"/>
      <c r="G112" s="298"/>
      <c r="H112" s="298"/>
      <c r="I112" s="298"/>
      <c r="J112" s="298"/>
      <c r="K112" s="298"/>
      <c r="L112" s="298"/>
      <c r="M112" s="298"/>
    </row>
    <row r="113" spans="2:13" ht="10.15" customHeight="1" x14ac:dyDescent="0.2">
      <c r="B113" s="298" t="s">
        <v>299</v>
      </c>
      <c r="C113" s="298"/>
      <c r="D113" s="298"/>
      <c r="E113" s="298"/>
      <c r="F113" s="298"/>
      <c r="G113" s="298"/>
      <c r="H113" s="298"/>
      <c r="I113" s="298"/>
      <c r="J113" s="298"/>
      <c r="K113" s="298"/>
      <c r="L113" s="298"/>
      <c r="M113" s="298"/>
    </row>
    <row r="114" spans="2:13" ht="11.25" customHeight="1" x14ac:dyDescent="0.2">
      <c r="B114" s="298" t="s">
        <v>300</v>
      </c>
      <c r="C114" s="298"/>
      <c r="D114" s="298"/>
      <c r="E114" s="298"/>
      <c r="F114" s="298"/>
      <c r="G114" s="298"/>
      <c r="H114" s="298"/>
      <c r="I114" s="298"/>
      <c r="J114" s="298"/>
      <c r="K114" s="298"/>
      <c r="L114" s="298"/>
      <c r="M114" s="298"/>
    </row>
    <row r="115" spans="2:13" ht="11.25" customHeight="1" x14ac:dyDescent="0.2">
      <c r="B115" s="298" t="s">
        <v>283</v>
      </c>
      <c r="C115" s="298"/>
      <c r="D115" s="298"/>
      <c r="E115" s="298"/>
      <c r="F115" s="298"/>
      <c r="G115" s="298"/>
      <c r="H115" s="298"/>
      <c r="I115" s="298"/>
      <c r="J115" s="298"/>
      <c r="K115" s="298"/>
      <c r="L115" s="298"/>
      <c r="M115" s="298"/>
    </row>
    <row r="116" spans="2:13" ht="10.15" customHeight="1" x14ac:dyDescent="0.2">
      <c r="B116" s="300" t="s">
        <v>284</v>
      </c>
      <c r="C116" s="300"/>
      <c r="D116" s="300"/>
      <c r="E116" s="300"/>
      <c r="F116" s="300"/>
      <c r="G116" s="300"/>
      <c r="H116" s="300"/>
      <c r="I116" s="300"/>
      <c r="J116" s="300"/>
      <c r="K116" s="300"/>
      <c r="L116" s="300"/>
      <c r="M116" s="300"/>
    </row>
    <row r="117" spans="2:13" ht="10.15" customHeight="1" x14ac:dyDescent="0.2">
      <c r="B117" s="301" t="s">
        <v>285</v>
      </c>
      <c r="C117" s="301"/>
      <c r="D117" s="301"/>
      <c r="E117" s="301"/>
      <c r="F117" s="301"/>
      <c r="G117" s="301"/>
      <c r="H117" s="301"/>
      <c r="I117" s="301"/>
      <c r="J117" s="301"/>
      <c r="K117" s="301"/>
      <c r="L117" s="301"/>
      <c r="M117" s="301"/>
    </row>
  </sheetData>
  <sheetProtection algorithmName="SHA-512" hashValue="nhcHJ/1ifUgqve7BjSuK+62oc48zM/IufR8lQDTHVwGqB0wBhy75oHz/lNjrF2X5RCw4QVIslINoRB4KesLFNQ==" saltValue="IU5RJytSYjZyggSVq0PCYw==" spinCount="100000" sheet="1" objects="1" scenarios="1"/>
  <mergeCells count="12">
    <mergeCell ref="B113:M113"/>
    <mergeCell ref="B114:M114"/>
    <mergeCell ref="B115:M115"/>
    <mergeCell ref="B116:M116"/>
    <mergeCell ref="B117:M117"/>
    <mergeCell ref="B112:M112"/>
    <mergeCell ref="B2:M2"/>
    <mergeCell ref="B108:M108"/>
    <mergeCell ref="B109:M109"/>
    <mergeCell ref="B110:M110"/>
    <mergeCell ref="B111:M111"/>
    <mergeCell ref="B107:M107"/>
  </mergeCells>
  <printOptions horizontalCentered="1"/>
  <pageMargins left="0.5" right="0.5" top="0.5" bottom="0.5" header="0.3" footer="0.3"/>
  <pageSetup scale="86" fitToHeight="2" orientation="landscape" r:id="rId1"/>
  <rowBreaks count="1" manualBreakCount="1">
    <brk id="73"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B1:O15"/>
  <sheetViews>
    <sheetView tabSelected="1" zoomScaleNormal="100" workbookViewId="0"/>
  </sheetViews>
  <sheetFormatPr defaultColWidth="9.1796875" defaultRowHeight="14" x14ac:dyDescent="0.3"/>
  <cols>
    <col min="1" max="1" width="3.26953125" style="25" customWidth="1"/>
    <col min="2" max="2" width="13.26953125" style="25" customWidth="1"/>
    <col min="3" max="3" width="13.453125" style="25" customWidth="1"/>
    <col min="4" max="4" width="12.453125" style="25" customWidth="1"/>
    <col min="5" max="5" width="12.7265625" style="25" customWidth="1"/>
    <col min="6" max="6" width="13.54296875" style="25" customWidth="1"/>
    <col min="7" max="7" width="13.26953125" style="25" customWidth="1"/>
    <col min="8" max="8" width="22.26953125" style="25" customWidth="1"/>
    <col min="9" max="9" width="13" style="25" customWidth="1"/>
    <col min="10" max="10" width="9.1796875" style="25"/>
    <col min="11" max="11" width="12.81640625" style="25" customWidth="1"/>
    <col min="12" max="16384" width="9.1796875" style="25"/>
  </cols>
  <sheetData>
    <row r="1" spans="2:15" ht="39.75" customHeight="1" x14ac:dyDescent="0.4">
      <c r="B1" s="302" t="s">
        <v>289</v>
      </c>
      <c r="C1" s="302"/>
      <c r="D1" s="302"/>
      <c r="E1" s="302"/>
      <c r="F1" s="302"/>
      <c r="G1" s="302"/>
      <c r="H1" s="302"/>
      <c r="I1" s="302"/>
      <c r="J1" s="24"/>
      <c r="K1" s="24"/>
      <c r="L1" s="24"/>
      <c r="M1" s="24"/>
      <c r="N1" s="24"/>
      <c r="O1" s="24"/>
    </row>
    <row r="2" spans="2:15" ht="40.5" customHeight="1" thickBot="1" x14ac:dyDescent="0.35">
      <c r="B2" s="190" t="s">
        <v>35</v>
      </c>
      <c r="C2" s="191" t="s">
        <v>36</v>
      </c>
      <c r="D2" s="191" t="s">
        <v>38</v>
      </c>
      <c r="E2" s="191" t="s">
        <v>37</v>
      </c>
      <c r="F2" s="191" t="s">
        <v>39</v>
      </c>
      <c r="G2" s="191" t="s">
        <v>40</v>
      </c>
      <c r="H2" s="191" t="s">
        <v>41</v>
      </c>
      <c r="I2" s="191" t="s">
        <v>42</v>
      </c>
    </row>
    <row r="3" spans="2:15" ht="14.5" thickTop="1" x14ac:dyDescent="0.3">
      <c r="B3" s="192">
        <v>1</v>
      </c>
      <c r="C3" s="2">
        <f>'YR1'!H98</f>
        <v>760</v>
      </c>
      <c r="D3" s="2">
        <f>'YR1'!I98</f>
        <v>76</v>
      </c>
      <c r="E3" s="2">
        <f>'YR1'!J98</f>
        <v>38</v>
      </c>
      <c r="F3" s="2">
        <f>SUM(C3:E3)</f>
        <v>874</v>
      </c>
      <c r="G3" s="3">
        <f>'YR1'!L98</f>
        <v>86506</v>
      </c>
      <c r="H3" s="3">
        <f>'YR1'!M98</f>
        <v>0</v>
      </c>
      <c r="I3" s="3">
        <f>+G3+H3</f>
        <v>86506</v>
      </c>
    </row>
    <row r="4" spans="2:15" x14ac:dyDescent="0.3">
      <c r="B4" s="193">
        <v>2</v>
      </c>
      <c r="C4" s="4">
        <f>'YR2'!H98</f>
        <v>8617</v>
      </c>
      <c r="D4" s="4">
        <f>'YR2'!I98</f>
        <v>861.69999999999993</v>
      </c>
      <c r="E4" s="4">
        <f>'YR2'!J98</f>
        <v>430.84999999999997</v>
      </c>
      <c r="F4" s="4">
        <f>SUM(C4:E4)</f>
        <v>9909.5500000000011</v>
      </c>
      <c r="G4" s="5">
        <f>'YR2'!L98</f>
        <v>980823</v>
      </c>
      <c r="H4" s="5">
        <f>'YR2'!M98</f>
        <v>3396370.2857142854</v>
      </c>
      <c r="I4" s="5">
        <f>+G4+H4</f>
        <v>4377193.2857142854</v>
      </c>
    </row>
    <row r="5" spans="2:15" ht="14.5" thickBot="1" x14ac:dyDescent="0.35">
      <c r="B5" s="190">
        <v>3</v>
      </c>
      <c r="C5" s="6">
        <f>'YR3'!H98</f>
        <v>11822</v>
      </c>
      <c r="D5" s="6">
        <f>'YR3'!I98</f>
        <v>1182.2000000000003</v>
      </c>
      <c r="E5" s="6">
        <f>'YR3'!J98</f>
        <v>591.10000000000014</v>
      </c>
      <c r="F5" s="6">
        <f>SUM(C5:E5)</f>
        <v>13595.300000000001</v>
      </c>
      <c r="G5" s="7">
        <f>'YR3'!L98</f>
        <v>1345628</v>
      </c>
      <c r="H5" s="7">
        <f>'YR3'!M98</f>
        <v>4628790.2857142864</v>
      </c>
      <c r="I5" s="7">
        <f>+G5+H5</f>
        <v>5974418.2857142864</v>
      </c>
    </row>
    <row r="6" spans="2:15" ht="14.5" thickTop="1" x14ac:dyDescent="0.3">
      <c r="B6" s="192" t="s">
        <v>43</v>
      </c>
      <c r="C6" s="2">
        <f>SUM(C3:C5)</f>
        <v>21199</v>
      </c>
      <c r="D6" s="2">
        <f t="shared" ref="D6:I6" si="0">SUM(D3:D5)</f>
        <v>2119.9</v>
      </c>
      <c r="E6" s="2">
        <f t="shared" si="0"/>
        <v>1059.95</v>
      </c>
      <c r="F6" s="2">
        <f>SUM(F3:F5)</f>
        <v>24378.850000000002</v>
      </c>
      <c r="G6" s="3">
        <f t="shared" si="0"/>
        <v>2412957</v>
      </c>
      <c r="H6" s="3">
        <f t="shared" si="0"/>
        <v>8025160.5714285718</v>
      </c>
      <c r="I6" s="3">
        <f t="shared" si="0"/>
        <v>10438117.571428571</v>
      </c>
    </row>
    <row r="7" spans="2:15" x14ac:dyDescent="0.3">
      <c r="B7" s="193" t="s">
        <v>44</v>
      </c>
      <c r="C7" s="4">
        <f t="shared" ref="C7:H7" si="1">AVERAGE(C3:C5)</f>
        <v>7066.333333333333</v>
      </c>
      <c r="D7" s="4">
        <f t="shared" si="1"/>
        <v>706.63333333333333</v>
      </c>
      <c r="E7" s="4">
        <f t="shared" si="1"/>
        <v>353.31666666666666</v>
      </c>
      <c r="F7" s="4">
        <f>AVERAGE(F3:F5)</f>
        <v>8126.2833333333338</v>
      </c>
      <c r="G7" s="194">
        <f t="shared" si="1"/>
        <v>804319</v>
      </c>
      <c r="H7" s="5">
        <f t="shared" si="1"/>
        <v>2675053.5238095238</v>
      </c>
      <c r="I7" s="5">
        <f>AVERAGE(I3:I5)</f>
        <v>3479372.5238095238</v>
      </c>
    </row>
    <row r="8" spans="2:15" x14ac:dyDescent="0.3">
      <c r="B8" s="195"/>
      <c r="C8" s="26"/>
      <c r="D8" s="26"/>
      <c r="E8" s="26"/>
      <c r="F8" s="26"/>
      <c r="G8" s="26"/>
      <c r="H8" s="26"/>
      <c r="I8" s="196"/>
    </row>
    <row r="9" spans="2:15" ht="30" hidden="1" customHeight="1" thickBot="1" x14ac:dyDescent="0.35">
      <c r="B9" s="190" t="s">
        <v>35</v>
      </c>
      <c r="C9" s="191" t="s">
        <v>100</v>
      </c>
      <c r="D9" s="191" t="s">
        <v>78</v>
      </c>
      <c r="E9" s="191" t="s">
        <v>79</v>
      </c>
      <c r="F9" s="191" t="s">
        <v>80</v>
      </c>
      <c r="G9" s="191" t="s">
        <v>51</v>
      </c>
      <c r="H9" s="197" t="s">
        <v>81</v>
      </c>
      <c r="I9" s="197" t="s">
        <v>98</v>
      </c>
    </row>
    <row r="10" spans="2:15" ht="14.5" hidden="1" thickTop="1" x14ac:dyDescent="0.3">
      <c r="B10" s="192">
        <v>1</v>
      </c>
      <c r="C10" s="2">
        <v>0.66</v>
      </c>
      <c r="D10" s="2" t="e">
        <f>'YR1'!#REF!</f>
        <v>#REF!</v>
      </c>
      <c r="E10" s="2">
        <f>'YR1'!H73+'YR1'!I73+'YR1'!J73</f>
        <v>524.4</v>
      </c>
      <c r="F10" s="2">
        <f>'YR1'!H97+'YR1'!I97+'YR1'!J97</f>
        <v>349.59999999999997</v>
      </c>
      <c r="G10" s="2">
        <f>F10+E10</f>
        <v>874</v>
      </c>
      <c r="H10" s="157" t="e">
        <f>G10/D10</f>
        <v>#REF!</v>
      </c>
      <c r="I10" s="97">
        <f>G10/C10</f>
        <v>1324.2424242424242</v>
      </c>
    </row>
    <row r="11" spans="2:15" hidden="1" x14ac:dyDescent="0.3">
      <c r="B11" s="193">
        <v>2</v>
      </c>
      <c r="C11" s="113">
        <v>70.33</v>
      </c>
      <c r="D11" s="113" t="e">
        <f>'YR2'!#REF!</f>
        <v>#REF!</v>
      </c>
      <c r="E11" s="113">
        <f>'YR2'!H73+'YR2'!I73+'YR2'!J73</f>
        <v>1199.45</v>
      </c>
      <c r="F11" s="113">
        <f>'YR2'!H97+'YR2'!I97+'YR2'!J97</f>
        <v>8710.1</v>
      </c>
      <c r="G11" s="2">
        <f>F11+E11</f>
        <v>9909.5500000000011</v>
      </c>
      <c r="H11" s="97" t="e">
        <f>G11/D11</f>
        <v>#REF!</v>
      </c>
      <c r="I11" s="97">
        <f>G11/C11</f>
        <v>140.90075359021756</v>
      </c>
    </row>
    <row r="12" spans="2:15" ht="14.5" hidden="1" thickBot="1" x14ac:dyDescent="0.35">
      <c r="B12" s="190">
        <v>3</v>
      </c>
      <c r="C12" s="98">
        <v>140</v>
      </c>
      <c r="D12" s="98" t="e">
        <f>'YR3'!#REF!</f>
        <v>#REF!</v>
      </c>
      <c r="E12" s="98">
        <f>'YR3'!H73+'YR3'!I73+'YR3'!J73</f>
        <v>2381.65</v>
      </c>
      <c r="F12" s="98">
        <f>'YR3'!H97+'YR3'!I97+'YR3'!J97</f>
        <v>11213.65</v>
      </c>
      <c r="G12" s="6">
        <f>F12+E12</f>
        <v>13595.3</v>
      </c>
      <c r="H12" s="98" t="e">
        <f>G12/D12</f>
        <v>#REF!</v>
      </c>
      <c r="I12" s="98">
        <f>G12/C12</f>
        <v>97.109285714285704</v>
      </c>
    </row>
    <row r="13" spans="2:15" ht="14.5" hidden="1" thickTop="1" x14ac:dyDescent="0.3">
      <c r="B13" s="192" t="s">
        <v>43</v>
      </c>
      <c r="C13" s="2">
        <f>SUM(C10:C12)</f>
        <v>210.99</v>
      </c>
      <c r="D13" s="2" t="e">
        <f>SUM(D10:D12)</f>
        <v>#REF!</v>
      </c>
      <c r="E13" s="2">
        <f t="shared" ref="E13:G13" si="2">SUM(E10:E12)</f>
        <v>4105.5</v>
      </c>
      <c r="F13" s="2">
        <f t="shared" si="2"/>
        <v>20273.349999999999</v>
      </c>
      <c r="G13" s="2">
        <f t="shared" si="2"/>
        <v>24378.85</v>
      </c>
      <c r="H13" s="97" t="e">
        <f>G13/D13</f>
        <v>#REF!</v>
      </c>
      <c r="I13" s="97">
        <f>G13/4</f>
        <v>6094.7124999999996</v>
      </c>
    </row>
    <row r="14" spans="2:15" hidden="1" x14ac:dyDescent="0.3">
      <c r="B14" s="193" t="s">
        <v>44</v>
      </c>
      <c r="C14" s="4">
        <f>AVERAGE(C10:C12)</f>
        <v>70.33</v>
      </c>
      <c r="D14" s="4" t="e">
        <f>AVERAGE(D10:D12)</f>
        <v>#REF!</v>
      </c>
      <c r="E14" s="4">
        <f t="shared" ref="E14:G14" si="3">AVERAGE(E10:E12)</f>
        <v>1368.5</v>
      </c>
      <c r="F14" s="4">
        <f t="shared" si="3"/>
        <v>6757.7833333333328</v>
      </c>
      <c r="G14" s="4">
        <f t="shared" si="3"/>
        <v>8126.2833333333328</v>
      </c>
      <c r="H14" s="113" t="e">
        <f>G14/D14</f>
        <v>#REF!</v>
      </c>
      <c r="I14" s="113">
        <f>G14/4</f>
        <v>2031.5708333333332</v>
      </c>
    </row>
    <row r="15" spans="2:15" x14ac:dyDescent="0.3">
      <c r="G15" s="99"/>
    </row>
  </sheetData>
  <sheetProtection algorithmName="SHA-512" hashValue="SdQjulinG2h3LaFrdW1fp3JJuRMsc2TiInyl2vj+kStqx27EB66mY+aMZDU5OEB7eaap/NQIuJoAiOLnDM1I2g==" saltValue="Z6q+jCRJjc9SN20r4+3x/w==" spinCount="100000" sheet="1" objects="1" scenarios="1"/>
  <mergeCells count="1">
    <mergeCell ref="B1:I1"/>
  </mergeCells>
  <printOptions horizontalCentered="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B2:Y67"/>
  <sheetViews>
    <sheetView zoomScaleNormal="100" workbookViewId="0"/>
  </sheetViews>
  <sheetFormatPr defaultColWidth="9.1796875" defaultRowHeight="14" x14ac:dyDescent="0.3"/>
  <cols>
    <col min="1" max="1" width="4.1796875" style="25" customWidth="1"/>
    <col min="2" max="4" width="3.1796875" style="13" customWidth="1"/>
    <col min="5" max="5" width="40.26953125" style="13" customWidth="1"/>
    <col min="6" max="6" width="3.26953125" style="13" customWidth="1"/>
    <col min="7" max="9" width="11.26953125" style="13" customWidth="1"/>
    <col min="10" max="10" width="11.54296875" style="13" bestFit="1" customWidth="1"/>
    <col min="11" max="11" width="10.453125" style="13" bestFit="1" customWidth="1"/>
    <col min="12" max="12" width="10.1796875" style="13" bestFit="1" customWidth="1"/>
    <col min="13" max="13" width="8.453125" style="13" bestFit="1" customWidth="1"/>
    <col min="14" max="14" width="3.81640625" style="25" customWidth="1"/>
    <col min="15" max="16384" width="9.1796875" style="25"/>
  </cols>
  <sheetData>
    <row r="2" spans="2:13" x14ac:dyDescent="0.3">
      <c r="B2" s="308" t="s">
        <v>294</v>
      </c>
      <c r="C2" s="308"/>
      <c r="D2" s="308"/>
      <c r="E2" s="308"/>
      <c r="F2" s="308"/>
      <c r="G2" s="308"/>
      <c r="H2" s="308"/>
      <c r="I2" s="308"/>
      <c r="J2" s="308"/>
      <c r="K2" s="308"/>
      <c r="L2" s="308"/>
      <c r="M2" s="308"/>
    </row>
    <row r="3" spans="2:13" x14ac:dyDescent="0.3">
      <c r="B3" s="198"/>
      <c r="C3" s="199"/>
      <c r="D3" s="199"/>
      <c r="E3" s="199"/>
      <c r="F3" s="199"/>
      <c r="G3" s="200" t="s">
        <v>4</v>
      </c>
      <c r="H3" s="201" t="s">
        <v>5</v>
      </c>
      <c r="I3" s="202" t="s">
        <v>6</v>
      </c>
      <c r="J3" s="202" t="s">
        <v>7</v>
      </c>
      <c r="K3" s="202" t="s">
        <v>8</v>
      </c>
      <c r="L3" s="203" t="s">
        <v>9</v>
      </c>
      <c r="M3" s="203" t="s">
        <v>103</v>
      </c>
    </row>
    <row r="4" spans="2:13" ht="47" thickBot="1" x14ac:dyDescent="0.35">
      <c r="B4" s="309" t="s">
        <v>2</v>
      </c>
      <c r="C4" s="310"/>
      <c r="D4" s="310"/>
      <c r="E4" s="310"/>
      <c r="F4" s="311"/>
      <c r="G4" s="114" t="s">
        <v>10</v>
      </c>
      <c r="H4" s="115" t="s">
        <v>101</v>
      </c>
      <c r="I4" s="116" t="s">
        <v>87</v>
      </c>
      <c r="J4" s="116" t="s">
        <v>88</v>
      </c>
      <c r="K4" s="116" t="s">
        <v>89</v>
      </c>
      <c r="L4" s="116" t="s">
        <v>102</v>
      </c>
      <c r="M4" s="116" t="s">
        <v>290</v>
      </c>
    </row>
    <row r="5" spans="2:13" ht="12" customHeight="1" thickTop="1" x14ac:dyDescent="0.3">
      <c r="B5" s="204" t="s">
        <v>11</v>
      </c>
      <c r="C5" s="28" t="s">
        <v>12</v>
      </c>
      <c r="D5" s="29"/>
      <c r="E5" s="29"/>
      <c r="F5" s="30"/>
      <c r="G5" s="312" t="s">
        <v>13</v>
      </c>
      <c r="H5" s="313"/>
      <c r="I5" s="313"/>
      <c r="J5" s="313"/>
      <c r="K5" s="313"/>
      <c r="L5" s="313"/>
      <c r="M5" s="313"/>
    </row>
    <row r="6" spans="2:13" ht="12" customHeight="1" x14ac:dyDescent="0.3">
      <c r="B6" s="205" t="s">
        <v>14</v>
      </c>
      <c r="C6" s="314" t="s">
        <v>291</v>
      </c>
      <c r="D6" s="314"/>
      <c r="E6" s="314"/>
      <c r="F6" s="315"/>
      <c r="G6" s="158">
        <v>45</v>
      </c>
      <c r="H6" s="119">
        <v>24</v>
      </c>
      <c r="I6" s="119">
        <f>(G6*H6)</f>
        <v>1080</v>
      </c>
      <c r="J6" s="119">
        <f>I6*0.05</f>
        <v>54</v>
      </c>
      <c r="K6" s="119">
        <f>I6*0.1</f>
        <v>108</v>
      </c>
      <c r="L6" s="119">
        <f>SUM(I6:K6)</f>
        <v>1242</v>
      </c>
      <c r="M6" s="120">
        <f>I6*Inputs!$D$90+J6*Inputs!$D$91+K6*Inputs!$D$92</f>
        <v>62053.344000000012</v>
      </c>
    </row>
    <row r="7" spans="2:13" ht="12" customHeight="1" x14ac:dyDescent="0.3">
      <c r="B7" s="206" t="s">
        <v>15</v>
      </c>
      <c r="C7" s="31" t="s">
        <v>16</v>
      </c>
      <c r="D7" s="31"/>
      <c r="E7" s="31"/>
      <c r="F7" s="32"/>
      <c r="G7" s="306"/>
      <c r="H7" s="307"/>
      <c r="I7" s="307"/>
      <c r="J7" s="307"/>
      <c r="K7" s="307"/>
      <c r="L7" s="307"/>
      <c r="M7" s="307"/>
    </row>
    <row r="8" spans="2:13" ht="12" customHeight="1" x14ac:dyDescent="0.3">
      <c r="B8" s="207">
        <v>0.08</v>
      </c>
      <c r="C8" s="33" t="s">
        <v>17</v>
      </c>
      <c r="D8" s="303" t="s">
        <v>18</v>
      </c>
      <c r="E8" s="304"/>
      <c r="F8" s="305"/>
      <c r="G8" s="121">
        <f>'YR1'!G19+'YR1'!G28+'YR1'!G43</f>
        <v>0</v>
      </c>
      <c r="H8" s="122">
        <v>16</v>
      </c>
      <c r="I8" s="123">
        <f>(G8*H8)</f>
        <v>0</v>
      </c>
      <c r="J8" s="123">
        <f>I8*0.05</f>
        <v>0</v>
      </c>
      <c r="K8" s="123">
        <f>I8*0.1</f>
        <v>0</v>
      </c>
      <c r="L8" s="119">
        <f>SUM(I8:K8)</f>
        <v>0</v>
      </c>
      <c r="M8" s="120">
        <f>I8*Inputs!$D$90+J8*Inputs!$D$91+K8*Inputs!$D$92</f>
        <v>0</v>
      </c>
    </row>
    <row r="9" spans="2:13" ht="12" customHeight="1" x14ac:dyDescent="0.3">
      <c r="B9" s="208">
        <f>0.1*0.1</f>
        <v>1.0000000000000002E-2</v>
      </c>
      <c r="C9" s="34" t="s">
        <v>19</v>
      </c>
      <c r="D9" s="35" t="s">
        <v>20</v>
      </c>
      <c r="E9" s="35"/>
      <c r="F9" s="36"/>
      <c r="G9" s="159">
        <v>0</v>
      </c>
      <c r="H9" s="124">
        <v>24</v>
      </c>
      <c r="I9" s="125">
        <f>(G9*H9)</f>
        <v>0</v>
      </c>
      <c r="J9" s="125">
        <f>I9*0.05</f>
        <v>0</v>
      </c>
      <c r="K9" s="125">
        <f>I9*0.1</f>
        <v>0</v>
      </c>
      <c r="L9" s="119">
        <f>SUM(I9:K9)</f>
        <v>0</v>
      </c>
      <c r="M9" s="120">
        <f>I9*Inputs!$D$90+J9*Inputs!$D$91+K9*Inputs!$D$92</f>
        <v>0</v>
      </c>
    </row>
    <row r="10" spans="2:13" ht="12" customHeight="1" x14ac:dyDescent="0.3">
      <c r="B10" s="208"/>
      <c r="C10" s="37" t="s">
        <v>21</v>
      </c>
      <c r="D10" s="28" t="s">
        <v>22</v>
      </c>
      <c r="E10" s="28"/>
      <c r="F10" s="38"/>
      <c r="G10" s="306" t="s">
        <v>13</v>
      </c>
      <c r="H10" s="307"/>
      <c r="I10" s="307"/>
      <c r="J10" s="307"/>
      <c r="K10" s="307"/>
      <c r="L10" s="307"/>
      <c r="M10" s="307"/>
    </row>
    <row r="11" spans="2:13" ht="12" customHeight="1" x14ac:dyDescent="0.3">
      <c r="B11" s="207"/>
      <c r="C11" s="39" t="s">
        <v>23</v>
      </c>
      <c r="D11" s="40" t="s">
        <v>24</v>
      </c>
      <c r="E11" s="40"/>
      <c r="F11" s="41"/>
      <c r="G11" s="317" t="s">
        <v>13</v>
      </c>
      <c r="H11" s="318"/>
      <c r="I11" s="318"/>
      <c r="J11" s="318"/>
      <c r="K11" s="318"/>
      <c r="L11" s="318"/>
      <c r="M11" s="318"/>
    </row>
    <row r="12" spans="2:13" ht="12" customHeight="1" x14ac:dyDescent="0.3">
      <c r="B12" s="209"/>
      <c r="C12" s="42" t="s">
        <v>25</v>
      </c>
      <c r="D12" s="31" t="s">
        <v>26</v>
      </c>
      <c r="E12" s="31"/>
      <c r="F12" s="43"/>
      <c r="G12" s="306"/>
      <c r="H12" s="307"/>
      <c r="I12" s="307"/>
      <c r="J12" s="307"/>
      <c r="K12" s="307"/>
      <c r="L12" s="307"/>
      <c r="M12" s="307"/>
    </row>
    <row r="13" spans="2:13" ht="12" customHeight="1" x14ac:dyDescent="0.3">
      <c r="B13" s="210"/>
      <c r="C13" s="56"/>
      <c r="D13" s="112" t="s">
        <v>11</v>
      </c>
      <c r="E13" s="54" t="s">
        <v>131</v>
      </c>
      <c r="F13" s="57"/>
      <c r="G13" s="118"/>
      <c r="H13" s="126"/>
      <c r="I13" s="127"/>
      <c r="J13" s="127"/>
      <c r="K13" s="127"/>
      <c r="L13" s="119"/>
      <c r="M13" s="120"/>
    </row>
    <row r="14" spans="2:13" ht="12" customHeight="1" x14ac:dyDescent="0.3">
      <c r="B14" s="210"/>
      <c r="C14" s="56"/>
      <c r="D14" s="112"/>
      <c r="E14" s="54" t="s">
        <v>108</v>
      </c>
      <c r="F14" s="57"/>
      <c r="G14" s="118">
        <f>'YR1'!E49*'YR1'!G49</f>
        <v>0</v>
      </c>
      <c r="H14" s="126">
        <v>2</v>
      </c>
      <c r="I14" s="127">
        <f t="shared" ref="I14:I39" si="0">(G14*H14)</f>
        <v>0</v>
      </c>
      <c r="J14" s="127">
        <f t="shared" ref="J14:J34" si="1">I14*0.05</f>
        <v>0</v>
      </c>
      <c r="K14" s="127">
        <f t="shared" ref="K14:K34" si="2">I14*0.1</f>
        <v>0</v>
      </c>
      <c r="L14" s="119">
        <f t="shared" ref="L14:L39" si="3">SUM(I14:K14)</f>
        <v>0</v>
      </c>
      <c r="M14" s="120">
        <f>I14*Inputs!$D$90+J14*Inputs!$D$91+K14*Inputs!$D$92</f>
        <v>0</v>
      </c>
    </row>
    <row r="15" spans="2:13" ht="12" customHeight="1" x14ac:dyDescent="0.3">
      <c r="B15" s="210"/>
      <c r="C15" s="56"/>
      <c r="D15" s="112"/>
      <c r="E15" s="54" t="s">
        <v>109</v>
      </c>
      <c r="F15" s="57"/>
      <c r="G15" s="118">
        <f>'YR1'!E50*'YR1'!G50</f>
        <v>0</v>
      </c>
      <c r="H15" s="126">
        <v>2</v>
      </c>
      <c r="I15" s="127">
        <f t="shared" ref="I15:I16" si="4">(G15*H15)</f>
        <v>0</v>
      </c>
      <c r="J15" s="127">
        <f t="shared" ref="J15:J18" si="5">I15*0.05</f>
        <v>0</v>
      </c>
      <c r="K15" s="127">
        <f t="shared" ref="K15:K18" si="6">I15*0.1</f>
        <v>0</v>
      </c>
      <c r="L15" s="119">
        <f t="shared" ref="L15:L18" si="7">SUM(I15:K15)</f>
        <v>0</v>
      </c>
      <c r="M15" s="120">
        <f>I15*Inputs!$D$90+J15*Inputs!$D$91+K15*Inputs!$D$92</f>
        <v>0</v>
      </c>
    </row>
    <row r="16" spans="2:13" ht="12" customHeight="1" x14ac:dyDescent="0.3">
      <c r="B16" s="210"/>
      <c r="C16" s="56"/>
      <c r="D16" s="112"/>
      <c r="E16" s="54" t="s">
        <v>244</v>
      </c>
      <c r="F16" s="57"/>
      <c r="G16" s="118">
        <f>'YR1'!E51*'YR1'!G51</f>
        <v>0</v>
      </c>
      <c r="H16" s="126">
        <v>2</v>
      </c>
      <c r="I16" s="127">
        <f t="shared" si="4"/>
        <v>0</v>
      </c>
      <c r="J16" s="127">
        <f t="shared" si="5"/>
        <v>0</v>
      </c>
      <c r="K16" s="127">
        <f t="shared" si="6"/>
        <v>0</v>
      </c>
      <c r="L16" s="119">
        <f>SUM(I16:K16)</f>
        <v>0</v>
      </c>
      <c r="M16" s="120">
        <f>I16*Inputs!$D$90+J16*Inputs!$D$91+K16*Inputs!$D$92</f>
        <v>0</v>
      </c>
    </row>
    <row r="17" spans="2:13" ht="12" customHeight="1" x14ac:dyDescent="0.3">
      <c r="B17" s="210"/>
      <c r="C17" s="56"/>
      <c r="D17" s="112"/>
      <c r="E17" s="54" t="s">
        <v>245</v>
      </c>
      <c r="F17" s="57"/>
      <c r="G17" s="118">
        <f>'YR1'!E52*'YR1'!G52</f>
        <v>0</v>
      </c>
      <c r="H17" s="126">
        <v>2</v>
      </c>
      <c r="I17" s="127">
        <f t="shared" ref="I17" si="8">(G17*H17)</f>
        <v>0</v>
      </c>
      <c r="J17" s="127">
        <f t="shared" ref="J17" si="9">I17*0.05</f>
        <v>0</v>
      </c>
      <c r="K17" s="127">
        <f t="shared" ref="K17" si="10">I17*0.1</f>
        <v>0</v>
      </c>
      <c r="L17" s="119">
        <f t="shared" ref="L17" si="11">SUM(I17:K17)</f>
        <v>0</v>
      </c>
      <c r="M17" s="120">
        <f>I17*Inputs!$D$90+J17*Inputs!$D$91+K17*Inputs!$D$92</f>
        <v>0</v>
      </c>
    </row>
    <row r="18" spans="2:13" ht="12" customHeight="1" x14ac:dyDescent="0.3">
      <c r="B18" s="210"/>
      <c r="C18" s="56"/>
      <c r="D18" s="112"/>
      <c r="E18" s="54" t="s">
        <v>248</v>
      </c>
      <c r="F18" s="57"/>
      <c r="G18" s="118">
        <f>'YR1'!E53*'YR1'!G53</f>
        <v>0</v>
      </c>
      <c r="H18" s="126">
        <v>2</v>
      </c>
      <c r="I18" s="127">
        <f>(G18*H18)</f>
        <v>0</v>
      </c>
      <c r="J18" s="127">
        <f t="shared" si="5"/>
        <v>0</v>
      </c>
      <c r="K18" s="127">
        <f t="shared" si="6"/>
        <v>0</v>
      </c>
      <c r="L18" s="119">
        <f t="shared" si="7"/>
        <v>0</v>
      </c>
      <c r="M18" s="120">
        <f>I18*Inputs!$D$90+J18*Inputs!$D$91+K18*Inputs!$D$92</f>
        <v>0</v>
      </c>
    </row>
    <row r="19" spans="2:13" ht="12" customHeight="1" x14ac:dyDescent="0.3">
      <c r="B19" s="210"/>
      <c r="C19" s="56"/>
      <c r="D19" s="112"/>
      <c r="E19" s="54" t="s">
        <v>250</v>
      </c>
      <c r="F19" s="57"/>
      <c r="G19" s="118">
        <f>'YR1'!E54*'YR1'!G54</f>
        <v>0</v>
      </c>
      <c r="H19" s="126">
        <v>2</v>
      </c>
      <c r="I19" s="127">
        <f t="shared" ref="I19:I20" si="12">(G19*H19)</f>
        <v>0</v>
      </c>
      <c r="J19" s="127">
        <f t="shared" ref="J19:J20" si="13">I19*0.05</f>
        <v>0</v>
      </c>
      <c r="K19" s="127">
        <f t="shared" ref="K19:K20" si="14">I19*0.1</f>
        <v>0</v>
      </c>
      <c r="L19" s="119">
        <f t="shared" ref="L19:L20" si="15">SUM(I19:K19)</f>
        <v>0</v>
      </c>
      <c r="M19" s="120">
        <f>I19*Inputs!$D$90+J19*Inputs!$D$91+K19*Inputs!$D$92</f>
        <v>0</v>
      </c>
    </row>
    <row r="20" spans="2:13" ht="12" customHeight="1" x14ac:dyDescent="0.3">
      <c r="B20" s="210"/>
      <c r="C20" s="56"/>
      <c r="D20" s="112"/>
      <c r="E20" s="54" t="s">
        <v>228</v>
      </c>
      <c r="F20" s="57"/>
      <c r="G20" s="118">
        <f>'YR1'!E55*'YR1'!G55</f>
        <v>0</v>
      </c>
      <c r="H20" s="126">
        <v>2</v>
      </c>
      <c r="I20" s="127">
        <f t="shared" si="12"/>
        <v>0</v>
      </c>
      <c r="J20" s="127">
        <f t="shared" si="13"/>
        <v>0</v>
      </c>
      <c r="K20" s="127">
        <f t="shared" si="14"/>
        <v>0</v>
      </c>
      <c r="L20" s="119">
        <f t="shared" si="15"/>
        <v>0</v>
      </c>
      <c r="M20" s="120">
        <f>I20*Inputs!$D$90+J20*Inputs!$D$91+K20*Inputs!$D$92</f>
        <v>0</v>
      </c>
    </row>
    <row r="21" spans="2:13" ht="12" customHeight="1" x14ac:dyDescent="0.3">
      <c r="B21" s="210"/>
      <c r="C21" s="56"/>
      <c r="D21" s="112"/>
      <c r="E21" s="54" t="s">
        <v>229</v>
      </c>
      <c r="F21" s="57"/>
      <c r="G21" s="118">
        <f>'YR1'!E56*'YR1'!G56</f>
        <v>0</v>
      </c>
      <c r="H21" s="126">
        <v>2</v>
      </c>
      <c r="I21" s="127">
        <f t="shared" ref="I21" si="16">(G21*H21)</f>
        <v>0</v>
      </c>
      <c r="J21" s="127">
        <f t="shared" ref="J21" si="17">I21*0.05</f>
        <v>0</v>
      </c>
      <c r="K21" s="127">
        <f t="shared" ref="K21" si="18">I21*0.1</f>
        <v>0</v>
      </c>
      <c r="L21" s="119">
        <f t="shared" ref="L21" si="19">SUM(I21:K21)</f>
        <v>0</v>
      </c>
      <c r="M21" s="120">
        <f>I21*Inputs!$D$90+J21*Inputs!$D$91+K21*Inputs!$D$92</f>
        <v>0</v>
      </c>
    </row>
    <row r="22" spans="2:13" ht="12" customHeight="1" x14ac:dyDescent="0.3">
      <c r="B22" s="210"/>
      <c r="C22" s="56"/>
      <c r="D22" s="112" t="s">
        <v>14</v>
      </c>
      <c r="E22" s="58" t="s">
        <v>159</v>
      </c>
      <c r="F22" s="57"/>
      <c r="G22" s="118"/>
      <c r="H22" s="126"/>
      <c r="I22" s="127"/>
      <c r="J22" s="127"/>
      <c r="K22" s="127"/>
      <c r="L22" s="119"/>
      <c r="M22" s="120"/>
    </row>
    <row r="23" spans="2:13" ht="12" customHeight="1" x14ac:dyDescent="0.3">
      <c r="B23" s="210"/>
      <c r="C23" s="56"/>
      <c r="D23" s="112"/>
      <c r="E23" s="58" t="s">
        <v>108</v>
      </c>
      <c r="F23" s="57"/>
      <c r="G23" s="118">
        <f>'YR1'!E58*'YR1'!G58</f>
        <v>0</v>
      </c>
      <c r="H23" s="126">
        <v>2</v>
      </c>
      <c r="I23" s="127">
        <f t="shared" ref="I23:I30" si="20">(G23*H23)</f>
        <v>0</v>
      </c>
      <c r="J23" s="127">
        <f t="shared" ref="J23:J30" si="21">I23*0.05</f>
        <v>0</v>
      </c>
      <c r="K23" s="127">
        <f t="shared" ref="K23:K30" si="22">I23*0.1</f>
        <v>0</v>
      </c>
      <c r="L23" s="119">
        <f t="shared" ref="L23:L30" si="23">SUM(I23:K23)</f>
        <v>0</v>
      </c>
      <c r="M23" s="120">
        <f>I23*Inputs!$D$90+J23*Inputs!$D$91+K23*Inputs!$D$92</f>
        <v>0</v>
      </c>
    </row>
    <row r="24" spans="2:13" ht="12" customHeight="1" x14ac:dyDescent="0.3">
      <c r="B24" s="210"/>
      <c r="C24" s="56"/>
      <c r="D24" s="112"/>
      <c r="E24" s="58" t="s">
        <v>109</v>
      </c>
      <c r="F24" s="57"/>
      <c r="G24" s="118">
        <f>'YR1'!E59*'YR1'!G59</f>
        <v>0</v>
      </c>
      <c r="H24" s="126">
        <v>2</v>
      </c>
      <c r="I24" s="127">
        <f t="shared" si="20"/>
        <v>0</v>
      </c>
      <c r="J24" s="127">
        <f t="shared" si="21"/>
        <v>0</v>
      </c>
      <c r="K24" s="127">
        <f t="shared" si="22"/>
        <v>0</v>
      </c>
      <c r="L24" s="119">
        <f t="shared" si="23"/>
        <v>0</v>
      </c>
      <c r="M24" s="120">
        <f>I24*Inputs!$D$90+J24*Inputs!$D$91+K24*Inputs!$D$92</f>
        <v>0</v>
      </c>
    </row>
    <row r="25" spans="2:13" ht="12" customHeight="1" x14ac:dyDescent="0.3">
      <c r="B25" s="210"/>
      <c r="C25" s="56"/>
      <c r="D25" s="112"/>
      <c r="E25" s="58" t="s">
        <v>230</v>
      </c>
      <c r="F25" s="57"/>
      <c r="G25" s="118">
        <f>'YR1'!E60*'YR1'!G60</f>
        <v>0</v>
      </c>
      <c r="H25" s="126">
        <v>2</v>
      </c>
      <c r="I25" s="127">
        <f t="shared" si="20"/>
        <v>0</v>
      </c>
      <c r="J25" s="127">
        <f t="shared" si="21"/>
        <v>0</v>
      </c>
      <c r="K25" s="127">
        <f t="shared" si="22"/>
        <v>0</v>
      </c>
      <c r="L25" s="119">
        <f t="shared" si="23"/>
        <v>0</v>
      </c>
      <c r="M25" s="120">
        <f>I25*Inputs!$D$90+J25*Inputs!$D$91+K25*Inputs!$D$92</f>
        <v>0</v>
      </c>
    </row>
    <row r="26" spans="2:13" ht="12" customHeight="1" x14ac:dyDescent="0.3">
      <c r="B26" s="210"/>
      <c r="C26" s="56"/>
      <c r="D26" s="112"/>
      <c r="E26" s="58" t="s">
        <v>246</v>
      </c>
      <c r="F26" s="57"/>
      <c r="G26" s="118">
        <f>'YR1'!E61*'YR1'!G61</f>
        <v>0</v>
      </c>
      <c r="H26" s="126">
        <v>2</v>
      </c>
      <c r="I26" s="127">
        <f t="shared" ref="I26" si="24">(G26*H26)</f>
        <v>0</v>
      </c>
      <c r="J26" s="127">
        <f t="shared" ref="J26" si="25">I26*0.05</f>
        <v>0</v>
      </c>
      <c r="K26" s="127">
        <f t="shared" ref="K26" si="26">I26*0.1</f>
        <v>0</v>
      </c>
      <c r="L26" s="119">
        <f t="shared" ref="L26" si="27">SUM(I26:K26)</f>
        <v>0</v>
      </c>
      <c r="M26" s="120">
        <f>I26*Inputs!$D$90+J26*Inputs!$D$91+K26*Inputs!$D$92</f>
        <v>0</v>
      </c>
    </row>
    <row r="27" spans="2:13" ht="12" customHeight="1" x14ac:dyDescent="0.3">
      <c r="B27" s="210"/>
      <c r="C27" s="56"/>
      <c r="D27" s="112"/>
      <c r="E27" s="58" t="s">
        <v>156</v>
      </c>
      <c r="F27" s="57"/>
      <c r="G27" s="118">
        <f>'YR1'!E62*'YR1'!G62</f>
        <v>0</v>
      </c>
      <c r="H27" s="126">
        <v>2</v>
      </c>
      <c r="I27" s="127">
        <f t="shared" si="20"/>
        <v>0</v>
      </c>
      <c r="J27" s="127">
        <f t="shared" si="21"/>
        <v>0</v>
      </c>
      <c r="K27" s="127">
        <f t="shared" si="22"/>
        <v>0</v>
      </c>
      <c r="L27" s="119">
        <f t="shared" si="23"/>
        <v>0</v>
      </c>
      <c r="M27" s="120">
        <f>I27*Inputs!$D$90+J27*Inputs!$D$91+K27*Inputs!$D$92</f>
        <v>0</v>
      </c>
    </row>
    <row r="28" spans="2:13" ht="12" customHeight="1" x14ac:dyDescent="0.3">
      <c r="B28" s="210"/>
      <c r="C28" s="56"/>
      <c r="D28" s="112"/>
      <c r="E28" s="58" t="s">
        <v>128</v>
      </c>
      <c r="F28" s="57"/>
      <c r="G28" s="118">
        <f>'YR1'!E63*'YR1'!G63</f>
        <v>0</v>
      </c>
      <c r="H28" s="126">
        <v>2</v>
      </c>
      <c r="I28" s="127">
        <f t="shared" si="20"/>
        <v>0</v>
      </c>
      <c r="J28" s="127">
        <f t="shared" si="21"/>
        <v>0</v>
      </c>
      <c r="K28" s="127">
        <f t="shared" si="22"/>
        <v>0</v>
      </c>
      <c r="L28" s="119">
        <f t="shared" si="23"/>
        <v>0</v>
      </c>
      <c r="M28" s="120">
        <f>I28*Inputs!$D$90+J28*Inputs!$D$91+K28*Inputs!$D$92</f>
        <v>0</v>
      </c>
    </row>
    <row r="29" spans="2:13" ht="12" customHeight="1" x14ac:dyDescent="0.3">
      <c r="B29" s="210"/>
      <c r="C29" s="56"/>
      <c r="D29" s="112"/>
      <c r="E29" s="58" t="s">
        <v>195</v>
      </c>
      <c r="F29" s="57"/>
      <c r="G29" s="118">
        <f>'YR1'!E64*'YR1'!G64</f>
        <v>0</v>
      </c>
      <c r="H29" s="126">
        <v>2</v>
      </c>
      <c r="I29" s="127">
        <f t="shared" si="20"/>
        <v>0</v>
      </c>
      <c r="J29" s="127">
        <f t="shared" si="21"/>
        <v>0</v>
      </c>
      <c r="K29" s="127">
        <f t="shared" si="22"/>
        <v>0</v>
      </c>
      <c r="L29" s="119">
        <f t="shared" si="23"/>
        <v>0</v>
      </c>
      <c r="M29" s="120">
        <f>I29*Inputs!$D$90+J29*Inputs!$D$91+K29*Inputs!$D$92</f>
        <v>0</v>
      </c>
    </row>
    <row r="30" spans="2:13" ht="12" customHeight="1" x14ac:dyDescent="0.3">
      <c r="B30" s="210"/>
      <c r="C30" s="56"/>
      <c r="D30" s="112"/>
      <c r="E30" s="58" t="s">
        <v>196</v>
      </c>
      <c r="F30" s="57"/>
      <c r="G30" s="118">
        <f>'YR1'!E65*'YR1'!G65</f>
        <v>0</v>
      </c>
      <c r="H30" s="126">
        <v>2</v>
      </c>
      <c r="I30" s="127">
        <f t="shared" si="20"/>
        <v>0</v>
      </c>
      <c r="J30" s="127">
        <f t="shared" si="21"/>
        <v>0</v>
      </c>
      <c r="K30" s="127">
        <f t="shared" si="22"/>
        <v>0</v>
      </c>
      <c r="L30" s="119">
        <f t="shared" si="23"/>
        <v>0</v>
      </c>
      <c r="M30" s="120">
        <f>I30*Inputs!$D$90+J30*Inputs!$D$91+K30*Inputs!$D$92</f>
        <v>0</v>
      </c>
    </row>
    <row r="31" spans="2:13" ht="12" customHeight="1" x14ac:dyDescent="0.3">
      <c r="B31" s="210"/>
      <c r="C31" s="56"/>
      <c r="D31" s="112"/>
      <c r="E31" s="58" t="s">
        <v>197</v>
      </c>
      <c r="F31" s="57"/>
      <c r="G31" s="118">
        <f>'YR1'!E66*'YR1'!G66</f>
        <v>0</v>
      </c>
      <c r="H31" s="126">
        <v>2</v>
      </c>
      <c r="I31" s="127">
        <f t="shared" ref="I31:I33" si="28">(G31*H31)</f>
        <v>0</v>
      </c>
      <c r="J31" s="127">
        <f t="shared" ref="J31:J33" si="29">I31*0.05</f>
        <v>0</v>
      </c>
      <c r="K31" s="127">
        <f t="shared" ref="K31:K33" si="30">I31*0.1</f>
        <v>0</v>
      </c>
      <c r="L31" s="119">
        <f t="shared" ref="L31:L33" si="31">SUM(I31:K31)</f>
        <v>0</v>
      </c>
      <c r="M31" s="120">
        <f>I31*Inputs!$D$90+J31*Inputs!$D$91+K31*Inputs!$D$92</f>
        <v>0</v>
      </c>
    </row>
    <row r="32" spans="2:13" ht="12" customHeight="1" x14ac:dyDescent="0.3">
      <c r="B32" s="210"/>
      <c r="C32" s="56"/>
      <c r="D32" s="112"/>
      <c r="E32" s="58" t="s">
        <v>247</v>
      </c>
      <c r="F32" s="57"/>
      <c r="G32" s="118">
        <f>'YR1'!E67*'YR1'!G67</f>
        <v>0</v>
      </c>
      <c r="H32" s="126">
        <v>2</v>
      </c>
      <c r="I32" s="127">
        <f t="shared" si="28"/>
        <v>0</v>
      </c>
      <c r="J32" s="127">
        <f t="shared" si="29"/>
        <v>0</v>
      </c>
      <c r="K32" s="127">
        <f t="shared" si="30"/>
        <v>0</v>
      </c>
      <c r="L32" s="119">
        <f t="shared" si="31"/>
        <v>0</v>
      </c>
      <c r="M32" s="120">
        <f>I32*Inputs!$D$90+J32*Inputs!$D$91+K32*Inputs!$D$92</f>
        <v>0</v>
      </c>
    </row>
    <row r="33" spans="2:13" ht="12" customHeight="1" x14ac:dyDescent="0.3">
      <c r="B33" s="210"/>
      <c r="C33" s="56"/>
      <c r="D33" s="112"/>
      <c r="E33" s="58" t="s">
        <v>236</v>
      </c>
      <c r="F33" s="57"/>
      <c r="G33" s="118">
        <f>'YR1'!E68*'YR1'!G68</f>
        <v>0</v>
      </c>
      <c r="H33" s="126">
        <v>2</v>
      </c>
      <c r="I33" s="127">
        <f t="shared" si="28"/>
        <v>0</v>
      </c>
      <c r="J33" s="127">
        <f t="shared" si="29"/>
        <v>0</v>
      </c>
      <c r="K33" s="127">
        <f t="shared" si="30"/>
        <v>0</v>
      </c>
      <c r="L33" s="119">
        <f t="shared" si="31"/>
        <v>0</v>
      </c>
      <c r="M33" s="120">
        <f>I33*Inputs!$D$90+J33*Inputs!$D$91+K33*Inputs!$D$92</f>
        <v>0</v>
      </c>
    </row>
    <row r="34" spans="2:13" ht="12" customHeight="1" x14ac:dyDescent="0.3">
      <c r="B34" s="210"/>
      <c r="C34" s="56"/>
      <c r="D34" s="112" t="s">
        <v>15</v>
      </c>
      <c r="E34" s="58" t="s">
        <v>130</v>
      </c>
      <c r="F34" s="57"/>
      <c r="G34" s="118">
        <f>'YR1'!E86*'YR1'!G86</f>
        <v>0</v>
      </c>
      <c r="H34" s="126">
        <v>5</v>
      </c>
      <c r="I34" s="127">
        <f t="shared" si="0"/>
        <v>0</v>
      </c>
      <c r="J34" s="127">
        <f t="shared" si="1"/>
        <v>0</v>
      </c>
      <c r="K34" s="127">
        <f t="shared" si="2"/>
        <v>0</v>
      </c>
      <c r="L34" s="119">
        <f t="shared" si="3"/>
        <v>0</v>
      </c>
      <c r="M34" s="120">
        <f>I34*Inputs!$D$90+J34*Inputs!$D$91+K34*Inputs!$D$92</f>
        <v>0</v>
      </c>
    </row>
    <row r="35" spans="2:13" ht="12" customHeight="1" x14ac:dyDescent="0.3">
      <c r="B35" s="210"/>
      <c r="C35" s="56"/>
      <c r="D35" s="112" t="s">
        <v>50</v>
      </c>
      <c r="E35" s="58" t="s">
        <v>184</v>
      </c>
      <c r="F35" s="57"/>
      <c r="G35" s="118"/>
      <c r="H35" s="126"/>
      <c r="I35" s="127"/>
      <c r="J35" s="127"/>
      <c r="K35" s="127"/>
      <c r="L35" s="119"/>
      <c r="M35" s="120"/>
    </row>
    <row r="36" spans="2:13" ht="12" customHeight="1" x14ac:dyDescent="0.3">
      <c r="B36" s="210"/>
      <c r="C36" s="56"/>
      <c r="D36" s="112"/>
      <c r="E36" s="58" t="s">
        <v>212</v>
      </c>
      <c r="F36" s="57"/>
      <c r="G36" s="118">
        <f>'YR1'!E70*'YR1'!G70</f>
        <v>0</v>
      </c>
      <c r="H36" s="126">
        <v>5</v>
      </c>
      <c r="I36" s="127">
        <f t="shared" ref="I36:I38" si="32">(G36*H36)</f>
        <v>0</v>
      </c>
      <c r="J36" s="127">
        <f t="shared" ref="J36:J38" si="33">I36*0.05</f>
        <v>0</v>
      </c>
      <c r="K36" s="127">
        <f t="shared" ref="K36:K38" si="34">I36*0.1</f>
        <v>0</v>
      </c>
      <c r="L36" s="119">
        <f t="shared" ref="L36:L38" si="35">SUM(I36:K36)</f>
        <v>0</v>
      </c>
      <c r="M36" s="120">
        <f>I36*Inputs!$D$90+J36*Inputs!$D$91+K36*Inputs!$D$92</f>
        <v>0</v>
      </c>
    </row>
    <row r="37" spans="2:13" ht="12" customHeight="1" x14ac:dyDescent="0.3">
      <c r="B37" s="210"/>
      <c r="C37" s="56"/>
      <c r="D37" s="112"/>
      <c r="E37" s="58" t="s">
        <v>199</v>
      </c>
      <c r="F37" s="57"/>
      <c r="G37" s="118">
        <f>'YR1'!E71*'YR1'!G71</f>
        <v>0</v>
      </c>
      <c r="H37" s="126">
        <v>5</v>
      </c>
      <c r="I37" s="127">
        <f t="shared" si="32"/>
        <v>0</v>
      </c>
      <c r="J37" s="127">
        <f t="shared" si="33"/>
        <v>0</v>
      </c>
      <c r="K37" s="127">
        <f t="shared" si="34"/>
        <v>0</v>
      </c>
      <c r="L37" s="119">
        <f t="shared" si="35"/>
        <v>0</v>
      </c>
      <c r="M37" s="120">
        <f>I37*Inputs!$D$90+J37*Inputs!$D$91+K37*Inputs!$D$92</f>
        <v>0</v>
      </c>
    </row>
    <row r="38" spans="2:13" ht="12" customHeight="1" x14ac:dyDescent="0.3">
      <c r="B38" s="210"/>
      <c r="C38" s="56"/>
      <c r="D38" s="112"/>
      <c r="E38" s="58" t="s">
        <v>200</v>
      </c>
      <c r="F38" s="57"/>
      <c r="G38" s="118">
        <f>'YR1'!E72*'YR1'!G72</f>
        <v>0</v>
      </c>
      <c r="H38" s="126">
        <v>2</v>
      </c>
      <c r="I38" s="127">
        <f t="shared" si="32"/>
        <v>0</v>
      </c>
      <c r="J38" s="127">
        <f t="shared" si="33"/>
        <v>0</v>
      </c>
      <c r="K38" s="127">
        <f t="shared" si="34"/>
        <v>0</v>
      </c>
      <c r="L38" s="119">
        <f t="shared" si="35"/>
        <v>0</v>
      </c>
      <c r="M38" s="120">
        <f>I38*Inputs!$D$90+J38*Inputs!$D$91+K38*Inputs!$D$92</f>
        <v>0</v>
      </c>
    </row>
    <row r="39" spans="2:13" ht="12" customHeight="1" x14ac:dyDescent="0.3">
      <c r="B39" s="211"/>
      <c r="C39" s="53" t="s">
        <v>27</v>
      </c>
      <c r="D39" s="54" t="s">
        <v>28</v>
      </c>
      <c r="E39" s="54"/>
      <c r="F39" s="55"/>
      <c r="G39" s="128">
        <v>1</v>
      </c>
      <c r="H39" s="127">
        <v>10</v>
      </c>
      <c r="I39" s="127">
        <f t="shared" si="0"/>
        <v>10</v>
      </c>
      <c r="J39" s="127">
        <f t="shared" ref="J39" si="36">I39*0.05</f>
        <v>0.5</v>
      </c>
      <c r="K39" s="127">
        <f t="shared" ref="K39" si="37">I39*0.1</f>
        <v>1</v>
      </c>
      <c r="L39" s="119">
        <f t="shared" si="3"/>
        <v>11.5</v>
      </c>
      <c r="M39" s="120">
        <f>I39*Inputs!$D$90+J39*Inputs!$D$91+K39*Inputs!$D$92</f>
        <v>574.56799999999998</v>
      </c>
    </row>
    <row r="40" spans="2:13" ht="12" customHeight="1" thickBot="1" x14ac:dyDescent="0.35">
      <c r="B40" s="212" t="s">
        <v>50</v>
      </c>
      <c r="C40" s="48" t="s">
        <v>29</v>
      </c>
      <c r="D40" s="49"/>
      <c r="E40" s="49"/>
      <c r="F40" s="49"/>
      <c r="G40" s="50"/>
      <c r="H40" s="44"/>
      <c r="I40" s="44"/>
      <c r="J40" s="51" t="str">
        <f>IF(G8=0,"$0",1*3.75*75+600)</f>
        <v>$0</v>
      </c>
      <c r="K40" s="52" t="s">
        <v>30</v>
      </c>
      <c r="L40" s="52"/>
      <c r="M40" s="45">
        <f>IF(ISTEXT(J40),0,G8*J40)</f>
        <v>0</v>
      </c>
    </row>
    <row r="41" spans="2:13" ht="12" customHeight="1" thickTop="1" x14ac:dyDescent="0.3">
      <c r="B41" s="213"/>
      <c r="C41" s="214" t="s">
        <v>31</v>
      </c>
      <c r="D41" s="215"/>
      <c r="E41" s="215"/>
      <c r="F41" s="54"/>
      <c r="G41" s="216"/>
      <c r="H41" s="217"/>
      <c r="I41" s="218">
        <f>SUM(I6:I39)</f>
        <v>1090</v>
      </c>
      <c r="J41" s="218">
        <f>SUM(J6:J39)</f>
        <v>54.5</v>
      </c>
      <c r="K41" s="218">
        <f>SUM(K6:K39)</f>
        <v>109</v>
      </c>
      <c r="L41" s="218">
        <f>SUM(L6:L39)</f>
        <v>1253.5</v>
      </c>
      <c r="M41" s="219">
        <f>SUM(M6:M40)</f>
        <v>62627.912000000011</v>
      </c>
    </row>
    <row r="42" spans="2:13" ht="12" customHeight="1" x14ac:dyDescent="0.3">
      <c r="B42" s="8"/>
      <c r="C42" s="8"/>
      <c r="D42" s="8"/>
      <c r="E42" s="8"/>
      <c r="F42" s="8"/>
      <c r="G42" s="8"/>
      <c r="H42" s="14"/>
      <c r="I42" s="15"/>
      <c r="J42" s="15"/>
      <c r="K42" s="15"/>
      <c r="L42" s="15"/>
      <c r="M42" s="15"/>
    </row>
    <row r="43" spans="2:13" ht="12" customHeight="1" x14ac:dyDescent="0.3">
      <c r="B43" s="46" t="s">
        <v>86</v>
      </c>
      <c r="C43" s="46"/>
      <c r="D43" s="8"/>
      <c r="E43" s="8"/>
      <c r="F43" s="16"/>
      <c r="G43" s="8"/>
      <c r="H43" s="14"/>
      <c r="I43" s="15"/>
      <c r="J43" s="15"/>
      <c r="K43" s="15"/>
      <c r="L43" s="15"/>
      <c r="M43" s="15"/>
    </row>
    <row r="44" spans="2:13" ht="12" customHeight="1" x14ac:dyDescent="0.3">
      <c r="B44" s="319" t="s">
        <v>292</v>
      </c>
      <c r="C44" s="319"/>
      <c r="D44" s="319"/>
      <c r="E44" s="319"/>
      <c r="F44" s="319"/>
      <c r="G44" s="319"/>
      <c r="H44" s="319"/>
      <c r="I44" s="319"/>
      <c r="J44" s="319"/>
      <c r="K44" s="319"/>
      <c r="L44" s="319"/>
      <c r="M44" s="319"/>
    </row>
    <row r="45" spans="2:13" ht="27.65" customHeight="1" x14ac:dyDescent="0.3">
      <c r="B45" s="320" t="s">
        <v>293</v>
      </c>
      <c r="C45" s="320"/>
      <c r="D45" s="320"/>
      <c r="E45" s="320"/>
      <c r="F45" s="320"/>
      <c r="G45" s="320"/>
      <c r="H45" s="320"/>
      <c r="I45" s="320"/>
      <c r="J45" s="320"/>
      <c r="K45" s="320"/>
      <c r="L45" s="320"/>
      <c r="M45" s="320"/>
    </row>
    <row r="46" spans="2:13" ht="12" customHeight="1" x14ac:dyDescent="0.3">
      <c r="B46" s="47"/>
      <c r="C46" s="46"/>
      <c r="D46" s="8"/>
      <c r="E46" s="8"/>
      <c r="F46" s="8"/>
      <c r="G46" s="8"/>
      <c r="H46" s="14"/>
      <c r="I46" s="15"/>
      <c r="J46" s="15"/>
      <c r="K46" s="15"/>
      <c r="L46" s="15"/>
      <c r="M46" s="15"/>
    </row>
    <row r="47" spans="2:13" ht="12" customHeight="1" x14ac:dyDescent="0.3">
      <c r="B47" s="47"/>
      <c r="C47" s="46"/>
      <c r="D47" s="8"/>
      <c r="E47" s="8"/>
      <c r="F47" s="8"/>
      <c r="G47" s="8"/>
      <c r="H47" s="14"/>
      <c r="I47" s="15"/>
      <c r="J47" s="15"/>
      <c r="K47" s="15"/>
      <c r="L47" s="15"/>
      <c r="M47" s="15"/>
    </row>
    <row r="48" spans="2:13" ht="12" customHeight="1" x14ac:dyDescent="0.3">
      <c r="B48" s="47"/>
      <c r="C48" s="46"/>
    </row>
    <row r="49" spans="2:2" x14ac:dyDescent="0.3">
      <c r="B49" s="18"/>
    </row>
    <row r="50" spans="2:2" x14ac:dyDescent="0.3">
      <c r="B50" s="18"/>
    </row>
    <row r="51" spans="2:2" x14ac:dyDescent="0.3">
      <c r="B51" s="18"/>
    </row>
    <row r="52" spans="2:2" x14ac:dyDescent="0.3">
      <c r="B52" s="18"/>
    </row>
    <row r="65" spans="22:25" x14ac:dyDescent="0.3">
      <c r="V65" s="316" t="s">
        <v>32</v>
      </c>
      <c r="W65" s="316"/>
      <c r="X65" s="316"/>
      <c r="Y65" s="27">
        <v>0.2</v>
      </c>
    </row>
    <row r="66" spans="22:25" x14ac:dyDescent="0.3">
      <c r="V66" s="316" t="s">
        <v>33</v>
      </c>
      <c r="W66" s="316"/>
      <c r="X66" s="316"/>
      <c r="Y66" s="27">
        <v>0.1</v>
      </c>
    </row>
    <row r="67" spans="22:25" x14ac:dyDescent="0.3">
      <c r="V67" s="316" t="s">
        <v>34</v>
      </c>
      <c r="W67" s="316"/>
      <c r="X67" s="316"/>
      <c r="Y67" s="27">
        <v>0.1</v>
      </c>
    </row>
  </sheetData>
  <sheetProtection algorithmName="SHA-512" hashValue="Us54RFH6KXBYSPb+s/ISpYNvP06H2QovbdSZv4ktP5TCz7boAa3gM0B8wdbNznHHmDH4rHqLJv7//8MXfTVQpA==" saltValue="a2orNCKNkI2zdZ8Lv71ZLA==" spinCount="100000" sheet="1" objects="1" scenarios="1"/>
  <mergeCells count="14">
    <mergeCell ref="V65:X65"/>
    <mergeCell ref="V66:X66"/>
    <mergeCell ref="V67:X67"/>
    <mergeCell ref="G10:M10"/>
    <mergeCell ref="G11:M11"/>
    <mergeCell ref="B44:M44"/>
    <mergeCell ref="B45:M45"/>
    <mergeCell ref="D8:F8"/>
    <mergeCell ref="G12:M12"/>
    <mergeCell ref="G7:M7"/>
    <mergeCell ref="B2:M2"/>
    <mergeCell ref="B4:F4"/>
    <mergeCell ref="G5:M5"/>
    <mergeCell ref="C6:F6"/>
  </mergeCells>
  <printOptions horizontalCentered="1"/>
  <pageMargins left="0.7" right="0.7" top="0.75" bottom="0.75" header="0.3" footer="0.3"/>
  <pageSetup scale="93" orientation="landscape" r:id="rId1"/>
  <ignoredErrors>
    <ignoredError sqref="B5:B8 B40" numberStoredAsText="1"/>
    <ignoredError sqref="B9" numberStoredAsText="1" unlockedFormula="1"/>
    <ignoredError sqref="M10:M12 H9:K9 G10:K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B85C3-051C-472D-B17C-58484E41B320}">
  <sheetPr>
    <tabColor rgb="FF00B050"/>
  </sheetPr>
  <dimension ref="B2:Y67"/>
  <sheetViews>
    <sheetView zoomScaleNormal="100" workbookViewId="0"/>
  </sheetViews>
  <sheetFormatPr defaultColWidth="9.1796875" defaultRowHeight="14" x14ac:dyDescent="0.3"/>
  <cols>
    <col min="1" max="1" width="4.1796875" style="25" customWidth="1"/>
    <col min="2" max="4" width="3.1796875" style="13" customWidth="1"/>
    <col min="5" max="5" width="40.26953125" style="13" customWidth="1"/>
    <col min="6" max="6" width="3.26953125" style="13" customWidth="1"/>
    <col min="7" max="9" width="11.26953125" style="13" customWidth="1"/>
    <col min="10" max="10" width="11.54296875" style="13" bestFit="1" customWidth="1"/>
    <col min="11" max="11" width="10.453125" style="13" bestFit="1" customWidth="1"/>
    <col min="12" max="12" width="10.1796875" style="13" bestFit="1" customWidth="1"/>
    <col min="13" max="13" width="8.453125" style="13" bestFit="1" customWidth="1"/>
    <col min="14" max="14" width="3.81640625" style="25" customWidth="1"/>
    <col min="15" max="16384" width="9.1796875" style="25"/>
  </cols>
  <sheetData>
    <row r="2" spans="2:13" x14ac:dyDescent="0.3">
      <c r="B2" s="308" t="s">
        <v>295</v>
      </c>
      <c r="C2" s="308"/>
      <c r="D2" s="308"/>
      <c r="E2" s="308"/>
      <c r="F2" s="308"/>
      <c r="G2" s="308"/>
      <c r="H2" s="308"/>
      <c r="I2" s="308"/>
      <c r="J2" s="308"/>
      <c r="K2" s="308"/>
      <c r="L2" s="308"/>
      <c r="M2" s="308"/>
    </row>
    <row r="3" spans="2:13" x14ac:dyDescent="0.3">
      <c r="B3" s="198"/>
      <c r="C3" s="199"/>
      <c r="D3" s="199"/>
      <c r="E3" s="199"/>
      <c r="F3" s="199"/>
      <c r="G3" s="200" t="s">
        <v>4</v>
      </c>
      <c r="H3" s="201" t="s">
        <v>5</v>
      </c>
      <c r="I3" s="202" t="s">
        <v>6</v>
      </c>
      <c r="J3" s="202" t="s">
        <v>7</v>
      </c>
      <c r="K3" s="202" t="s">
        <v>8</v>
      </c>
      <c r="L3" s="203" t="s">
        <v>9</v>
      </c>
      <c r="M3" s="203" t="s">
        <v>103</v>
      </c>
    </row>
    <row r="4" spans="2:13" ht="47" thickBot="1" x14ac:dyDescent="0.35">
      <c r="B4" s="309" t="s">
        <v>2</v>
      </c>
      <c r="C4" s="310"/>
      <c r="D4" s="310"/>
      <c r="E4" s="310"/>
      <c r="F4" s="311"/>
      <c r="G4" s="114" t="s">
        <v>10</v>
      </c>
      <c r="H4" s="115" t="s">
        <v>101</v>
      </c>
      <c r="I4" s="116" t="s">
        <v>87</v>
      </c>
      <c r="J4" s="116" t="s">
        <v>88</v>
      </c>
      <c r="K4" s="116" t="s">
        <v>89</v>
      </c>
      <c r="L4" s="116" t="s">
        <v>102</v>
      </c>
      <c r="M4" s="116" t="s">
        <v>290</v>
      </c>
    </row>
    <row r="5" spans="2:13" ht="12" customHeight="1" thickTop="1" x14ac:dyDescent="0.3">
      <c r="B5" s="204" t="s">
        <v>11</v>
      </c>
      <c r="C5" s="28" t="s">
        <v>12</v>
      </c>
      <c r="D5" s="29"/>
      <c r="E5" s="29"/>
      <c r="F5" s="30"/>
      <c r="G5" s="312" t="s">
        <v>13</v>
      </c>
      <c r="H5" s="313"/>
      <c r="I5" s="313"/>
      <c r="J5" s="313"/>
      <c r="K5" s="313"/>
      <c r="L5" s="313"/>
      <c r="M5" s="313"/>
    </row>
    <row r="6" spans="2:13" ht="12" customHeight="1" x14ac:dyDescent="0.3">
      <c r="B6" s="205" t="s">
        <v>14</v>
      </c>
      <c r="C6" s="314" t="s">
        <v>291</v>
      </c>
      <c r="D6" s="314"/>
      <c r="E6" s="314"/>
      <c r="F6" s="315"/>
      <c r="G6" s="158">
        <v>0</v>
      </c>
      <c r="H6" s="119">
        <v>24</v>
      </c>
      <c r="I6" s="119">
        <f>(G6*H6)</f>
        <v>0</v>
      </c>
      <c r="J6" s="119">
        <f>I6*0.05</f>
        <v>0</v>
      </c>
      <c r="K6" s="119">
        <f>I6*0.1</f>
        <v>0</v>
      </c>
      <c r="L6" s="119">
        <f>SUM(I6:K6)</f>
        <v>0</v>
      </c>
      <c r="M6" s="120">
        <f>I6*Inputs!$D$90+J6*Inputs!$D$91+K6*Inputs!$D$92</f>
        <v>0</v>
      </c>
    </row>
    <row r="7" spans="2:13" ht="12" customHeight="1" x14ac:dyDescent="0.3">
      <c r="B7" s="206" t="s">
        <v>15</v>
      </c>
      <c r="C7" s="31" t="s">
        <v>16</v>
      </c>
      <c r="D7" s="31"/>
      <c r="E7" s="31"/>
      <c r="F7" s="32"/>
      <c r="G7" s="306"/>
      <c r="H7" s="307"/>
      <c r="I7" s="307"/>
      <c r="J7" s="307"/>
      <c r="K7" s="307"/>
      <c r="L7" s="307"/>
      <c r="M7" s="307"/>
    </row>
    <row r="8" spans="2:13" ht="12" customHeight="1" x14ac:dyDescent="0.3">
      <c r="B8" s="207">
        <v>0.08</v>
      </c>
      <c r="C8" s="33" t="s">
        <v>17</v>
      </c>
      <c r="D8" s="303" t="s">
        <v>18</v>
      </c>
      <c r="E8" s="304"/>
      <c r="F8" s="305"/>
      <c r="G8" s="121">
        <f>'YR2'!G19+'YR2'!G28+'YR2'!G43</f>
        <v>3</v>
      </c>
      <c r="H8" s="122">
        <v>16</v>
      </c>
      <c r="I8" s="123">
        <f>(G8*H8)</f>
        <v>48</v>
      </c>
      <c r="J8" s="123">
        <f>I8*0.05</f>
        <v>2.4000000000000004</v>
      </c>
      <c r="K8" s="123">
        <f>I8*0.1</f>
        <v>4.8000000000000007</v>
      </c>
      <c r="L8" s="119">
        <f>SUM(I8:K8)</f>
        <v>55.2</v>
      </c>
      <c r="M8" s="120">
        <f>I8*Inputs!$D$90+J8*Inputs!$D$91+K8*Inputs!$D$92</f>
        <v>2757.9264000000003</v>
      </c>
    </row>
    <row r="9" spans="2:13" ht="12" customHeight="1" x14ac:dyDescent="0.3">
      <c r="B9" s="208">
        <f>0.1*0.1</f>
        <v>1.0000000000000002E-2</v>
      </c>
      <c r="C9" s="34" t="s">
        <v>19</v>
      </c>
      <c r="D9" s="35" t="s">
        <v>20</v>
      </c>
      <c r="E9" s="35"/>
      <c r="F9" s="36"/>
      <c r="G9" s="159">
        <v>0</v>
      </c>
      <c r="H9" s="124">
        <v>24</v>
      </c>
      <c r="I9" s="125">
        <f>(G9*H9)</f>
        <v>0</v>
      </c>
      <c r="J9" s="125">
        <f>I9*0.05</f>
        <v>0</v>
      </c>
      <c r="K9" s="125">
        <f>I9*0.1</f>
        <v>0</v>
      </c>
      <c r="L9" s="119">
        <f>SUM(I9:K9)</f>
        <v>0</v>
      </c>
      <c r="M9" s="120">
        <f>I9*Inputs!$D$90+J9*Inputs!$D$91+K9*Inputs!$D$92</f>
        <v>0</v>
      </c>
    </row>
    <row r="10" spans="2:13" ht="12" customHeight="1" x14ac:dyDescent="0.3">
      <c r="B10" s="208"/>
      <c r="C10" s="37" t="s">
        <v>21</v>
      </c>
      <c r="D10" s="28" t="s">
        <v>22</v>
      </c>
      <c r="E10" s="28"/>
      <c r="F10" s="38"/>
      <c r="G10" s="306" t="s">
        <v>13</v>
      </c>
      <c r="H10" s="307"/>
      <c r="I10" s="307"/>
      <c r="J10" s="307"/>
      <c r="K10" s="307"/>
      <c r="L10" s="307"/>
      <c r="M10" s="307"/>
    </row>
    <row r="11" spans="2:13" ht="12" customHeight="1" x14ac:dyDescent="0.3">
      <c r="B11" s="207"/>
      <c r="C11" s="39" t="s">
        <v>23</v>
      </c>
      <c r="D11" s="40" t="s">
        <v>24</v>
      </c>
      <c r="E11" s="40"/>
      <c r="F11" s="41"/>
      <c r="G11" s="317" t="s">
        <v>13</v>
      </c>
      <c r="H11" s="318"/>
      <c r="I11" s="318"/>
      <c r="J11" s="318"/>
      <c r="K11" s="318"/>
      <c r="L11" s="318"/>
      <c r="M11" s="318"/>
    </row>
    <row r="12" spans="2:13" ht="12" customHeight="1" x14ac:dyDescent="0.3">
      <c r="B12" s="209"/>
      <c r="C12" s="42" t="s">
        <v>25</v>
      </c>
      <c r="D12" s="31" t="s">
        <v>26</v>
      </c>
      <c r="E12" s="31"/>
      <c r="F12" s="43"/>
      <c r="G12" s="306"/>
      <c r="H12" s="307"/>
      <c r="I12" s="307"/>
      <c r="J12" s="307"/>
      <c r="K12" s="307"/>
      <c r="L12" s="307"/>
      <c r="M12" s="307"/>
    </row>
    <row r="13" spans="2:13" ht="12" customHeight="1" x14ac:dyDescent="0.3">
      <c r="B13" s="210"/>
      <c r="C13" s="56"/>
      <c r="D13" s="112" t="s">
        <v>11</v>
      </c>
      <c r="E13" s="54" t="s">
        <v>131</v>
      </c>
      <c r="F13" s="57"/>
      <c r="G13" s="118"/>
      <c r="H13" s="126"/>
      <c r="I13" s="127"/>
      <c r="J13" s="127"/>
      <c r="K13" s="127"/>
      <c r="L13" s="119"/>
      <c r="M13" s="120"/>
    </row>
    <row r="14" spans="2:13" ht="12" customHeight="1" x14ac:dyDescent="0.3">
      <c r="B14" s="210"/>
      <c r="C14" s="56"/>
      <c r="D14" s="112"/>
      <c r="E14" s="54" t="s">
        <v>108</v>
      </c>
      <c r="F14" s="57"/>
      <c r="G14" s="118">
        <f>'YR2'!E49*'YR2'!G49</f>
        <v>6</v>
      </c>
      <c r="H14" s="126">
        <v>2</v>
      </c>
      <c r="I14" s="127">
        <f t="shared" ref="I14:I39" si="0">(G14*H14)</f>
        <v>12</v>
      </c>
      <c r="J14" s="127">
        <f t="shared" ref="J14:J34" si="1">I14*0.05</f>
        <v>0.60000000000000009</v>
      </c>
      <c r="K14" s="127">
        <f t="shared" ref="K14:K34" si="2">I14*0.1</f>
        <v>1.2000000000000002</v>
      </c>
      <c r="L14" s="119">
        <f t="shared" ref="L14:L39" si="3">SUM(I14:K14)</f>
        <v>13.8</v>
      </c>
      <c r="M14" s="120">
        <f>I14*Inputs!$D$90+J14*Inputs!$D$91+K14*Inputs!$D$92</f>
        <v>689.48160000000007</v>
      </c>
    </row>
    <row r="15" spans="2:13" ht="12" customHeight="1" x14ac:dyDescent="0.3">
      <c r="B15" s="210"/>
      <c r="C15" s="56"/>
      <c r="D15" s="112"/>
      <c r="E15" s="54" t="s">
        <v>109</v>
      </c>
      <c r="F15" s="57"/>
      <c r="G15" s="118">
        <f>'YR2'!E50*'YR2'!G50</f>
        <v>6</v>
      </c>
      <c r="H15" s="126">
        <v>2</v>
      </c>
      <c r="I15" s="127">
        <f t="shared" si="0"/>
        <v>12</v>
      </c>
      <c r="J15" s="127">
        <f t="shared" si="1"/>
        <v>0.60000000000000009</v>
      </c>
      <c r="K15" s="127">
        <f t="shared" si="2"/>
        <v>1.2000000000000002</v>
      </c>
      <c r="L15" s="119">
        <f t="shared" si="3"/>
        <v>13.8</v>
      </c>
      <c r="M15" s="120">
        <f>I15*Inputs!$D$90+J15*Inputs!$D$91+K15*Inputs!$D$92</f>
        <v>689.48160000000007</v>
      </c>
    </row>
    <row r="16" spans="2:13" ht="12" customHeight="1" x14ac:dyDescent="0.3">
      <c r="B16" s="210"/>
      <c r="C16" s="56"/>
      <c r="D16" s="112"/>
      <c r="E16" s="54" t="s">
        <v>244</v>
      </c>
      <c r="F16" s="57"/>
      <c r="G16" s="118">
        <f>'YR2'!E51*'YR2'!G51</f>
        <v>6</v>
      </c>
      <c r="H16" s="126">
        <v>2</v>
      </c>
      <c r="I16" s="127">
        <f t="shared" si="0"/>
        <v>12</v>
      </c>
      <c r="J16" s="127">
        <f t="shared" si="1"/>
        <v>0.60000000000000009</v>
      </c>
      <c r="K16" s="127">
        <f t="shared" si="2"/>
        <v>1.2000000000000002</v>
      </c>
      <c r="L16" s="119">
        <f t="shared" si="3"/>
        <v>13.8</v>
      </c>
      <c r="M16" s="120">
        <f>I16*Inputs!$D$90+J16*Inputs!$D$91+K16*Inputs!$D$92</f>
        <v>689.48160000000007</v>
      </c>
    </row>
    <row r="17" spans="2:13" ht="12" customHeight="1" x14ac:dyDescent="0.3">
      <c r="B17" s="210"/>
      <c r="C17" s="56"/>
      <c r="D17" s="112"/>
      <c r="E17" s="54" t="s">
        <v>245</v>
      </c>
      <c r="F17" s="57"/>
      <c r="G17" s="118">
        <f>'YR2'!E52*'YR2'!G52</f>
        <v>6</v>
      </c>
      <c r="H17" s="126">
        <v>2</v>
      </c>
      <c r="I17" s="127">
        <f t="shared" ref="I17" si="4">(G17*H17)</f>
        <v>12</v>
      </c>
      <c r="J17" s="127">
        <f t="shared" ref="J17" si="5">I17*0.05</f>
        <v>0.60000000000000009</v>
      </c>
      <c r="K17" s="127">
        <f t="shared" ref="K17" si="6">I17*0.1</f>
        <v>1.2000000000000002</v>
      </c>
      <c r="L17" s="119">
        <f t="shared" ref="L17" si="7">SUM(I17:K17)</f>
        <v>13.8</v>
      </c>
      <c r="M17" s="120">
        <f>I17*Inputs!$D$90+J17*Inputs!$D$91+K17*Inputs!$D$92</f>
        <v>689.48160000000007</v>
      </c>
    </row>
    <row r="18" spans="2:13" ht="12" customHeight="1" x14ac:dyDescent="0.3">
      <c r="B18" s="210"/>
      <c r="C18" s="56"/>
      <c r="D18" s="112"/>
      <c r="E18" s="54" t="s">
        <v>248</v>
      </c>
      <c r="F18" s="57"/>
      <c r="G18" s="118">
        <f>'YR2'!E53*'YR2'!G53</f>
        <v>6</v>
      </c>
      <c r="H18" s="126">
        <v>2</v>
      </c>
      <c r="I18" s="127">
        <f>(G18*H18)</f>
        <v>12</v>
      </c>
      <c r="J18" s="127">
        <f t="shared" si="1"/>
        <v>0.60000000000000009</v>
      </c>
      <c r="K18" s="127">
        <f t="shared" si="2"/>
        <v>1.2000000000000002</v>
      </c>
      <c r="L18" s="119">
        <f t="shared" si="3"/>
        <v>13.8</v>
      </c>
      <c r="M18" s="120">
        <f>I18*Inputs!$D$90+J18*Inputs!$D$91+K18*Inputs!$D$92</f>
        <v>689.48160000000007</v>
      </c>
    </row>
    <row r="19" spans="2:13" ht="12" customHeight="1" x14ac:dyDescent="0.3">
      <c r="B19" s="210"/>
      <c r="C19" s="56"/>
      <c r="D19" s="112"/>
      <c r="E19" s="54" t="s">
        <v>250</v>
      </c>
      <c r="F19" s="57"/>
      <c r="G19" s="118">
        <f>'YR2'!E54*'YR2'!G54</f>
        <v>1</v>
      </c>
      <c r="H19" s="126">
        <v>2</v>
      </c>
      <c r="I19" s="127">
        <f t="shared" ref="I19:I21" si="8">(G19*H19)</f>
        <v>2</v>
      </c>
      <c r="J19" s="127">
        <f t="shared" si="1"/>
        <v>0.1</v>
      </c>
      <c r="K19" s="127">
        <f t="shared" si="2"/>
        <v>0.2</v>
      </c>
      <c r="L19" s="119">
        <f t="shared" si="3"/>
        <v>2.3000000000000003</v>
      </c>
      <c r="M19" s="120">
        <f>I19*Inputs!$D$90+J19*Inputs!$D$91+K19*Inputs!$D$92</f>
        <v>114.9136</v>
      </c>
    </row>
    <row r="20" spans="2:13" ht="12" customHeight="1" x14ac:dyDescent="0.3">
      <c r="B20" s="210"/>
      <c r="C20" s="56"/>
      <c r="D20" s="112"/>
      <c r="E20" s="54" t="s">
        <v>249</v>
      </c>
      <c r="F20" s="57"/>
      <c r="G20" s="118">
        <f>'YR2'!E55*'YR2'!G55</f>
        <v>1</v>
      </c>
      <c r="H20" s="126">
        <v>2</v>
      </c>
      <c r="I20" s="127">
        <f t="shared" si="8"/>
        <v>2</v>
      </c>
      <c r="J20" s="127">
        <f t="shared" si="1"/>
        <v>0.1</v>
      </c>
      <c r="K20" s="127">
        <f t="shared" si="2"/>
        <v>0.2</v>
      </c>
      <c r="L20" s="119">
        <f t="shared" si="3"/>
        <v>2.3000000000000003</v>
      </c>
      <c r="M20" s="120">
        <f>I20*Inputs!$D$90+J20*Inputs!$D$91+K20*Inputs!$D$92</f>
        <v>114.9136</v>
      </c>
    </row>
    <row r="21" spans="2:13" ht="12" customHeight="1" x14ac:dyDescent="0.3">
      <c r="B21" s="210"/>
      <c r="C21" s="56"/>
      <c r="D21" s="112"/>
      <c r="E21" s="54" t="s">
        <v>229</v>
      </c>
      <c r="F21" s="57"/>
      <c r="G21" s="118">
        <f>'YR2'!E56*'YR2'!G56</f>
        <v>1</v>
      </c>
      <c r="H21" s="126">
        <v>2</v>
      </c>
      <c r="I21" s="127">
        <f t="shared" si="8"/>
        <v>2</v>
      </c>
      <c r="J21" s="127">
        <f t="shared" si="1"/>
        <v>0.1</v>
      </c>
      <c r="K21" s="127">
        <f t="shared" si="2"/>
        <v>0.2</v>
      </c>
      <c r="L21" s="119">
        <f t="shared" si="3"/>
        <v>2.3000000000000003</v>
      </c>
      <c r="M21" s="120">
        <f>I21*Inputs!$D$90+J21*Inputs!$D$91+K21*Inputs!$D$92</f>
        <v>114.9136</v>
      </c>
    </row>
    <row r="22" spans="2:13" ht="12" customHeight="1" x14ac:dyDescent="0.3">
      <c r="B22" s="210"/>
      <c r="C22" s="56"/>
      <c r="D22" s="112" t="s">
        <v>14</v>
      </c>
      <c r="E22" s="58" t="s">
        <v>159</v>
      </c>
      <c r="F22" s="57"/>
      <c r="G22" s="118"/>
      <c r="H22" s="126"/>
      <c r="I22" s="127"/>
      <c r="J22" s="127"/>
      <c r="K22" s="127"/>
      <c r="L22" s="119"/>
      <c r="M22" s="120"/>
    </row>
    <row r="23" spans="2:13" ht="12" customHeight="1" x14ac:dyDescent="0.3">
      <c r="B23" s="210"/>
      <c r="C23" s="56"/>
      <c r="D23" s="112"/>
      <c r="E23" s="58" t="s">
        <v>108</v>
      </c>
      <c r="F23" s="57"/>
      <c r="G23" s="118">
        <f>'YR2'!E58*'YR2'!G58</f>
        <v>12</v>
      </c>
      <c r="H23" s="126">
        <v>2</v>
      </c>
      <c r="I23" s="127">
        <f t="shared" ref="I23:I33" si="9">(G23*H23)</f>
        <v>24</v>
      </c>
      <c r="J23" s="127">
        <f t="shared" ref="J23:J33" si="10">I23*0.05</f>
        <v>1.2000000000000002</v>
      </c>
      <c r="K23" s="127">
        <f t="shared" ref="K23:K33" si="11">I23*0.1</f>
        <v>2.4000000000000004</v>
      </c>
      <c r="L23" s="119">
        <f t="shared" ref="L23:L33" si="12">SUM(I23:K23)</f>
        <v>27.6</v>
      </c>
      <c r="M23" s="120">
        <f>I23*Inputs!$D$90+J23*Inputs!$D$91+K23*Inputs!$D$92</f>
        <v>1378.9632000000001</v>
      </c>
    </row>
    <row r="24" spans="2:13" ht="12" customHeight="1" x14ac:dyDescent="0.3">
      <c r="B24" s="210"/>
      <c r="C24" s="56"/>
      <c r="D24" s="112"/>
      <c r="E24" s="58" t="s">
        <v>109</v>
      </c>
      <c r="F24" s="57"/>
      <c r="G24" s="118">
        <f>'YR2'!E59*'YR2'!G59</f>
        <v>12</v>
      </c>
      <c r="H24" s="126">
        <v>2</v>
      </c>
      <c r="I24" s="127">
        <f t="shared" si="9"/>
        <v>24</v>
      </c>
      <c r="J24" s="127">
        <f t="shared" si="10"/>
        <v>1.2000000000000002</v>
      </c>
      <c r="K24" s="127">
        <f t="shared" si="11"/>
        <v>2.4000000000000004</v>
      </c>
      <c r="L24" s="119">
        <f t="shared" si="12"/>
        <v>27.6</v>
      </c>
      <c r="M24" s="120">
        <f>I24*Inputs!$D$90+J24*Inputs!$D$91+K24*Inputs!$D$92</f>
        <v>1378.9632000000001</v>
      </c>
    </row>
    <row r="25" spans="2:13" ht="12" customHeight="1" x14ac:dyDescent="0.3">
      <c r="B25" s="210"/>
      <c r="C25" s="56"/>
      <c r="D25" s="112"/>
      <c r="E25" s="58" t="s">
        <v>230</v>
      </c>
      <c r="F25" s="57"/>
      <c r="G25" s="118">
        <f>'YR2'!E60*'YR2'!G60</f>
        <v>12</v>
      </c>
      <c r="H25" s="126">
        <v>2</v>
      </c>
      <c r="I25" s="127">
        <f t="shared" si="9"/>
        <v>24</v>
      </c>
      <c r="J25" s="127">
        <f t="shared" si="10"/>
        <v>1.2000000000000002</v>
      </c>
      <c r="K25" s="127">
        <f t="shared" si="11"/>
        <v>2.4000000000000004</v>
      </c>
      <c r="L25" s="119">
        <f t="shared" si="12"/>
        <v>27.6</v>
      </c>
      <c r="M25" s="120">
        <f>I25*Inputs!$D$90+J25*Inputs!$D$91+K25*Inputs!$D$92</f>
        <v>1378.9632000000001</v>
      </c>
    </row>
    <row r="26" spans="2:13" ht="12" customHeight="1" x14ac:dyDescent="0.3">
      <c r="B26" s="210"/>
      <c r="C26" s="56"/>
      <c r="D26" s="112"/>
      <c r="E26" s="58" t="s">
        <v>246</v>
      </c>
      <c r="F26" s="57"/>
      <c r="G26" s="118">
        <f>'YR2'!E61*'YR2'!G61</f>
        <v>12</v>
      </c>
      <c r="H26" s="126">
        <v>2</v>
      </c>
      <c r="I26" s="127">
        <f t="shared" ref="I26" si="13">(G26*H26)</f>
        <v>24</v>
      </c>
      <c r="J26" s="127">
        <f t="shared" ref="J26" si="14">I26*0.05</f>
        <v>1.2000000000000002</v>
      </c>
      <c r="K26" s="127">
        <f t="shared" ref="K26" si="15">I26*0.1</f>
        <v>2.4000000000000004</v>
      </c>
      <c r="L26" s="119">
        <f t="shared" ref="L26" si="16">SUM(I26:K26)</f>
        <v>27.6</v>
      </c>
      <c r="M26" s="120">
        <f>I26*Inputs!$D$90+J26*Inputs!$D$91+K26*Inputs!$D$92</f>
        <v>1378.9632000000001</v>
      </c>
    </row>
    <row r="27" spans="2:13" ht="12" customHeight="1" x14ac:dyDescent="0.3">
      <c r="B27" s="210"/>
      <c r="C27" s="56"/>
      <c r="D27" s="112"/>
      <c r="E27" s="58" t="s">
        <v>231</v>
      </c>
      <c r="F27" s="57"/>
      <c r="G27" s="118">
        <f>'YR2'!E62*'YR2'!G62</f>
        <v>0</v>
      </c>
      <c r="H27" s="126">
        <v>2</v>
      </c>
      <c r="I27" s="127">
        <f t="shared" si="9"/>
        <v>0</v>
      </c>
      <c r="J27" s="127">
        <f t="shared" si="10"/>
        <v>0</v>
      </c>
      <c r="K27" s="127">
        <f t="shared" si="11"/>
        <v>0</v>
      </c>
      <c r="L27" s="119">
        <f t="shared" si="12"/>
        <v>0</v>
      </c>
      <c r="M27" s="120">
        <f>I27*Inputs!$D$90+J27*Inputs!$D$91+K27*Inputs!$D$92</f>
        <v>0</v>
      </c>
    </row>
    <row r="28" spans="2:13" ht="12" customHeight="1" x14ac:dyDescent="0.3">
      <c r="B28" s="210"/>
      <c r="C28" s="56"/>
      <c r="D28" s="112"/>
      <c r="E28" s="58" t="s">
        <v>232</v>
      </c>
      <c r="F28" s="57"/>
      <c r="G28" s="118">
        <f>'YR2'!E63*'YR2'!G63</f>
        <v>12</v>
      </c>
      <c r="H28" s="126">
        <v>2</v>
      </c>
      <c r="I28" s="127">
        <f t="shared" si="9"/>
        <v>24</v>
      </c>
      <c r="J28" s="127">
        <f t="shared" si="10"/>
        <v>1.2000000000000002</v>
      </c>
      <c r="K28" s="127">
        <f t="shared" si="11"/>
        <v>2.4000000000000004</v>
      </c>
      <c r="L28" s="119">
        <f t="shared" si="12"/>
        <v>27.6</v>
      </c>
      <c r="M28" s="120">
        <f>I28*Inputs!$D$90+J28*Inputs!$D$91+K28*Inputs!$D$92</f>
        <v>1378.9632000000001</v>
      </c>
    </row>
    <row r="29" spans="2:13" ht="12" customHeight="1" x14ac:dyDescent="0.3">
      <c r="B29" s="210"/>
      <c r="C29" s="56"/>
      <c r="D29" s="112"/>
      <c r="E29" s="58" t="s">
        <v>233</v>
      </c>
      <c r="F29" s="57"/>
      <c r="G29" s="118">
        <f>'YR2'!E64*'YR2'!G64</f>
        <v>12</v>
      </c>
      <c r="H29" s="126">
        <v>2</v>
      </c>
      <c r="I29" s="127">
        <f t="shared" si="9"/>
        <v>24</v>
      </c>
      <c r="J29" s="127">
        <f t="shared" si="10"/>
        <v>1.2000000000000002</v>
      </c>
      <c r="K29" s="127">
        <f t="shared" si="11"/>
        <v>2.4000000000000004</v>
      </c>
      <c r="L29" s="119">
        <f t="shared" si="12"/>
        <v>27.6</v>
      </c>
      <c r="M29" s="120">
        <f>I29*Inputs!$D$90+J29*Inputs!$D$91+K29*Inputs!$D$92</f>
        <v>1378.9632000000001</v>
      </c>
    </row>
    <row r="30" spans="2:13" ht="12" customHeight="1" x14ac:dyDescent="0.3">
      <c r="B30" s="210"/>
      <c r="C30" s="56"/>
      <c r="D30" s="112"/>
      <c r="E30" s="58" t="s">
        <v>234</v>
      </c>
      <c r="F30" s="57"/>
      <c r="G30" s="118">
        <f>'YR2'!E65*'YR2'!G65</f>
        <v>2</v>
      </c>
      <c r="H30" s="126">
        <v>2</v>
      </c>
      <c r="I30" s="127">
        <f t="shared" si="9"/>
        <v>4</v>
      </c>
      <c r="J30" s="127">
        <f t="shared" si="10"/>
        <v>0.2</v>
      </c>
      <c r="K30" s="127">
        <f t="shared" si="11"/>
        <v>0.4</v>
      </c>
      <c r="L30" s="119">
        <f t="shared" si="12"/>
        <v>4.6000000000000005</v>
      </c>
      <c r="M30" s="120">
        <f>I30*Inputs!$D$90+J30*Inputs!$D$91+K30*Inputs!$D$92</f>
        <v>229.8272</v>
      </c>
    </row>
    <row r="31" spans="2:13" ht="12" customHeight="1" x14ac:dyDescent="0.3">
      <c r="B31" s="210"/>
      <c r="C31" s="56"/>
      <c r="D31" s="112"/>
      <c r="E31" s="58" t="s">
        <v>235</v>
      </c>
      <c r="F31" s="57"/>
      <c r="G31" s="118">
        <f>'YR2'!E66*'YR2'!G66</f>
        <v>12</v>
      </c>
      <c r="H31" s="126">
        <v>2</v>
      </c>
      <c r="I31" s="127">
        <f t="shared" si="9"/>
        <v>24</v>
      </c>
      <c r="J31" s="127">
        <f t="shared" si="10"/>
        <v>1.2000000000000002</v>
      </c>
      <c r="K31" s="127">
        <f t="shared" si="11"/>
        <v>2.4000000000000004</v>
      </c>
      <c r="L31" s="119">
        <f t="shared" si="12"/>
        <v>27.6</v>
      </c>
      <c r="M31" s="120">
        <f>I31*Inputs!$D$90+J31*Inputs!$D$91+K31*Inputs!$D$92</f>
        <v>1378.9632000000001</v>
      </c>
    </row>
    <row r="32" spans="2:13" ht="12" customHeight="1" x14ac:dyDescent="0.3">
      <c r="B32" s="210"/>
      <c r="C32" s="56"/>
      <c r="D32" s="112"/>
      <c r="E32" s="58" t="s">
        <v>242</v>
      </c>
      <c r="F32" s="57"/>
      <c r="G32" s="118">
        <f>'YR2'!E67*'YR2'!G67</f>
        <v>2</v>
      </c>
      <c r="H32" s="126">
        <v>2</v>
      </c>
      <c r="I32" s="127">
        <f t="shared" si="9"/>
        <v>4</v>
      </c>
      <c r="J32" s="127">
        <f t="shared" si="10"/>
        <v>0.2</v>
      </c>
      <c r="K32" s="127">
        <f t="shared" si="11"/>
        <v>0.4</v>
      </c>
      <c r="L32" s="119">
        <f t="shared" si="12"/>
        <v>4.6000000000000005</v>
      </c>
      <c r="M32" s="120">
        <f>I32*Inputs!$D$90+J32*Inputs!$D$91+K32*Inputs!$D$92</f>
        <v>229.8272</v>
      </c>
    </row>
    <row r="33" spans="2:13" ht="12" customHeight="1" x14ac:dyDescent="0.3">
      <c r="B33" s="210"/>
      <c r="C33" s="56"/>
      <c r="D33" s="112"/>
      <c r="E33" s="58" t="s">
        <v>236</v>
      </c>
      <c r="F33" s="57"/>
      <c r="G33" s="118">
        <f>'YR2'!E68*'YR2'!G68</f>
        <v>2</v>
      </c>
      <c r="H33" s="126">
        <v>2</v>
      </c>
      <c r="I33" s="127">
        <f t="shared" si="9"/>
        <v>4</v>
      </c>
      <c r="J33" s="127">
        <f t="shared" si="10"/>
        <v>0.2</v>
      </c>
      <c r="K33" s="127">
        <f t="shared" si="11"/>
        <v>0.4</v>
      </c>
      <c r="L33" s="119">
        <f t="shared" si="12"/>
        <v>4.6000000000000005</v>
      </c>
      <c r="M33" s="120">
        <f>I33*Inputs!$D$90+J33*Inputs!$D$91+K33*Inputs!$D$92</f>
        <v>229.8272</v>
      </c>
    </row>
    <row r="34" spans="2:13" ht="12" customHeight="1" x14ac:dyDescent="0.3">
      <c r="B34" s="210"/>
      <c r="C34" s="56"/>
      <c r="D34" s="112" t="s">
        <v>15</v>
      </c>
      <c r="E34" s="58" t="s">
        <v>130</v>
      </c>
      <c r="F34" s="57"/>
      <c r="G34" s="118">
        <f>'YR2'!E86*'YR2'!G86</f>
        <v>6</v>
      </c>
      <c r="H34" s="126">
        <v>5</v>
      </c>
      <c r="I34" s="127">
        <f t="shared" si="0"/>
        <v>30</v>
      </c>
      <c r="J34" s="127">
        <f t="shared" si="1"/>
        <v>1.5</v>
      </c>
      <c r="K34" s="127">
        <f t="shared" si="2"/>
        <v>3</v>
      </c>
      <c r="L34" s="119">
        <f t="shared" si="3"/>
        <v>34.5</v>
      </c>
      <c r="M34" s="120">
        <f>I34*Inputs!$D$90+J34*Inputs!$D$91+K34*Inputs!$D$92</f>
        <v>1723.7040000000002</v>
      </c>
    </row>
    <row r="35" spans="2:13" ht="12" customHeight="1" x14ac:dyDescent="0.3">
      <c r="B35" s="210"/>
      <c r="C35" s="56"/>
      <c r="D35" s="112" t="s">
        <v>50</v>
      </c>
      <c r="E35" s="58" t="s">
        <v>184</v>
      </c>
      <c r="F35" s="57"/>
      <c r="G35" s="118"/>
      <c r="H35" s="126"/>
      <c r="I35" s="127"/>
      <c r="J35" s="127"/>
      <c r="K35" s="127"/>
      <c r="L35" s="119"/>
      <c r="M35" s="120"/>
    </row>
    <row r="36" spans="2:13" ht="12" customHeight="1" x14ac:dyDescent="0.3">
      <c r="B36" s="210"/>
      <c r="C36" s="56"/>
      <c r="D36" s="112"/>
      <c r="E36" s="58" t="s">
        <v>212</v>
      </c>
      <c r="F36" s="57"/>
      <c r="G36" s="118">
        <f>'YR2'!E70*'YR2'!G70</f>
        <v>12</v>
      </c>
      <c r="H36" s="126">
        <v>5</v>
      </c>
      <c r="I36" s="127">
        <f t="shared" ref="I36:I38" si="17">(G36*H36)</f>
        <v>60</v>
      </c>
      <c r="J36" s="127">
        <f t="shared" ref="J36:J39" si="18">I36*0.05</f>
        <v>3</v>
      </c>
      <c r="K36" s="127">
        <f t="shared" ref="K36:K39" si="19">I36*0.1</f>
        <v>6</v>
      </c>
      <c r="L36" s="119">
        <f t="shared" ref="L36:L38" si="20">SUM(I36:K36)</f>
        <v>69</v>
      </c>
      <c r="M36" s="120">
        <f>I36*Inputs!$D$90+J36*Inputs!$D$91+K36*Inputs!$D$92</f>
        <v>3447.4080000000004</v>
      </c>
    </row>
    <row r="37" spans="2:13" ht="12" customHeight="1" x14ac:dyDescent="0.3">
      <c r="B37" s="210"/>
      <c r="C37" s="56"/>
      <c r="D37" s="112"/>
      <c r="E37" s="58" t="s">
        <v>199</v>
      </c>
      <c r="F37" s="57"/>
      <c r="G37" s="118">
        <f>'YR2'!E71*'YR2'!G71</f>
        <v>0</v>
      </c>
      <c r="H37" s="126">
        <v>5</v>
      </c>
      <c r="I37" s="127">
        <f t="shared" si="17"/>
        <v>0</v>
      </c>
      <c r="J37" s="127">
        <f t="shared" si="18"/>
        <v>0</v>
      </c>
      <c r="K37" s="127">
        <f t="shared" si="19"/>
        <v>0</v>
      </c>
      <c r="L37" s="119">
        <f t="shared" si="20"/>
        <v>0</v>
      </c>
      <c r="M37" s="120">
        <f>I37*Inputs!$D$90+J37*Inputs!$D$91+K37*Inputs!$D$92</f>
        <v>0</v>
      </c>
    </row>
    <row r="38" spans="2:13" ht="12" customHeight="1" x14ac:dyDescent="0.3">
      <c r="B38" s="210"/>
      <c r="C38" s="56"/>
      <c r="D38" s="112"/>
      <c r="E38" s="58" t="s">
        <v>200</v>
      </c>
      <c r="F38" s="57"/>
      <c r="G38" s="118">
        <f>'YR2'!E72*'YR2'!G72</f>
        <v>48</v>
      </c>
      <c r="H38" s="126">
        <v>2</v>
      </c>
      <c r="I38" s="127">
        <f t="shared" si="17"/>
        <v>96</v>
      </c>
      <c r="J38" s="127">
        <f t="shared" si="18"/>
        <v>4.8000000000000007</v>
      </c>
      <c r="K38" s="127">
        <f t="shared" si="19"/>
        <v>9.6000000000000014</v>
      </c>
      <c r="L38" s="119">
        <f t="shared" si="20"/>
        <v>110.4</v>
      </c>
      <c r="M38" s="120">
        <f>I38*Inputs!$D$90+J38*Inputs!$D$91+K38*Inputs!$D$92</f>
        <v>5515.8528000000006</v>
      </c>
    </row>
    <row r="39" spans="2:13" ht="12" customHeight="1" x14ac:dyDescent="0.3">
      <c r="B39" s="211"/>
      <c r="C39" s="53" t="s">
        <v>27</v>
      </c>
      <c r="D39" s="54" t="s">
        <v>28</v>
      </c>
      <c r="E39" s="54"/>
      <c r="F39" s="55"/>
      <c r="G39" s="128">
        <v>1</v>
      </c>
      <c r="H39" s="127">
        <v>10</v>
      </c>
      <c r="I39" s="127">
        <f t="shared" si="0"/>
        <v>10</v>
      </c>
      <c r="J39" s="127">
        <f t="shared" si="18"/>
        <v>0.5</v>
      </c>
      <c r="K39" s="127">
        <f t="shared" si="19"/>
        <v>1</v>
      </c>
      <c r="L39" s="119">
        <f t="shared" si="3"/>
        <v>11.5</v>
      </c>
      <c r="M39" s="120">
        <f>I39*Inputs!$D$90+J39*Inputs!$D$91+K39*Inputs!$D$92</f>
        <v>574.56799999999998</v>
      </c>
    </row>
    <row r="40" spans="2:13" ht="12" customHeight="1" thickBot="1" x14ac:dyDescent="0.35">
      <c r="B40" s="212" t="s">
        <v>50</v>
      </c>
      <c r="C40" s="48" t="s">
        <v>29</v>
      </c>
      <c r="D40" s="49"/>
      <c r="E40" s="49"/>
      <c r="F40" s="49"/>
      <c r="G40" s="50"/>
      <c r="H40" s="44"/>
      <c r="I40" s="44"/>
      <c r="J40" s="51">
        <f>IF(G8=0,"$0",1*3.75*75+600)</f>
        <v>881.25</v>
      </c>
      <c r="K40" s="52" t="s">
        <v>30</v>
      </c>
      <c r="L40" s="52"/>
      <c r="M40" s="45">
        <f>IF(ISTEXT(J40),0,G8*J40)</f>
        <v>2643.75</v>
      </c>
    </row>
    <row r="41" spans="2:13" ht="12" customHeight="1" thickTop="1" x14ac:dyDescent="0.3">
      <c r="B41" s="213"/>
      <c r="C41" s="214" t="s">
        <v>31</v>
      </c>
      <c r="D41" s="215"/>
      <c r="E41" s="215"/>
      <c r="F41" s="54"/>
      <c r="G41" s="216"/>
      <c r="H41" s="217"/>
      <c r="I41" s="218">
        <f>SUM(I6:I39)</f>
        <v>490</v>
      </c>
      <c r="J41" s="218">
        <f>SUM(J6:J39)</f>
        <v>24.499999999999996</v>
      </c>
      <c r="K41" s="218">
        <f>SUM(K6:K39)</f>
        <v>48.999999999999993</v>
      </c>
      <c r="L41" s="218">
        <f>SUM(L6:L39)</f>
        <v>563.50000000000011</v>
      </c>
      <c r="M41" s="219">
        <f>SUM(M6:M40)</f>
        <v>30797.582000000002</v>
      </c>
    </row>
    <row r="42" spans="2:13" ht="12" customHeight="1" x14ac:dyDescent="0.3">
      <c r="B42" s="8"/>
      <c r="C42" s="8"/>
      <c r="D42" s="8"/>
      <c r="E42" s="8"/>
      <c r="F42" s="8"/>
      <c r="G42" s="8"/>
      <c r="H42" s="14"/>
      <c r="I42" s="15"/>
      <c r="J42" s="15"/>
      <c r="K42" s="15"/>
      <c r="L42" s="15"/>
      <c r="M42" s="15"/>
    </row>
    <row r="43" spans="2:13" ht="12" customHeight="1" x14ac:dyDescent="0.3">
      <c r="B43" s="46" t="s">
        <v>86</v>
      </c>
      <c r="C43" s="46"/>
      <c r="D43" s="8"/>
      <c r="E43" s="8"/>
      <c r="F43" s="16"/>
      <c r="G43" s="8"/>
      <c r="H43" s="14"/>
      <c r="I43" s="15"/>
      <c r="J43" s="15"/>
      <c r="K43" s="15"/>
      <c r="L43" s="15"/>
      <c r="M43" s="15"/>
    </row>
    <row r="44" spans="2:13" ht="12" customHeight="1" x14ac:dyDescent="0.3">
      <c r="B44" s="319" t="s">
        <v>292</v>
      </c>
      <c r="C44" s="319"/>
      <c r="D44" s="319"/>
      <c r="E44" s="319"/>
      <c r="F44" s="319"/>
      <c r="G44" s="319"/>
      <c r="H44" s="319"/>
      <c r="I44" s="319"/>
      <c r="J44" s="319"/>
      <c r="K44" s="319"/>
      <c r="L44" s="319"/>
      <c r="M44" s="319"/>
    </row>
    <row r="45" spans="2:13" ht="24.65" customHeight="1" x14ac:dyDescent="0.3">
      <c r="B45" s="320" t="s">
        <v>293</v>
      </c>
      <c r="C45" s="320"/>
      <c r="D45" s="320"/>
      <c r="E45" s="320"/>
      <c r="F45" s="320"/>
      <c r="G45" s="320"/>
      <c r="H45" s="320"/>
      <c r="I45" s="320"/>
      <c r="J45" s="320"/>
      <c r="K45" s="320"/>
      <c r="L45" s="320"/>
      <c r="M45" s="320"/>
    </row>
    <row r="46" spans="2:13" ht="12" customHeight="1" x14ac:dyDescent="0.3">
      <c r="B46" s="47"/>
      <c r="C46" s="46"/>
      <c r="D46" s="8"/>
      <c r="E46" s="8"/>
      <c r="F46" s="8"/>
      <c r="G46" s="8"/>
      <c r="H46" s="14"/>
      <c r="I46" s="15"/>
      <c r="J46" s="15"/>
      <c r="K46" s="15"/>
      <c r="L46" s="15"/>
      <c r="M46" s="15"/>
    </row>
    <row r="47" spans="2:13" ht="12" customHeight="1" x14ac:dyDescent="0.3">
      <c r="B47" s="47"/>
      <c r="C47" s="46"/>
      <c r="D47" s="8"/>
      <c r="E47" s="8"/>
      <c r="F47" s="8"/>
      <c r="G47" s="8"/>
      <c r="H47" s="14"/>
      <c r="I47" s="15"/>
      <c r="J47" s="15"/>
      <c r="K47" s="15"/>
      <c r="L47" s="15"/>
      <c r="M47" s="15"/>
    </row>
    <row r="48" spans="2:13" ht="12" customHeight="1" x14ac:dyDescent="0.3">
      <c r="B48" s="47"/>
      <c r="C48" s="46"/>
    </row>
    <row r="49" spans="2:2" x14ac:dyDescent="0.3">
      <c r="B49" s="18"/>
    </row>
    <row r="50" spans="2:2" x14ac:dyDescent="0.3">
      <c r="B50" s="18"/>
    </row>
    <row r="51" spans="2:2" x14ac:dyDescent="0.3">
      <c r="B51" s="18"/>
    </row>
    <row r="52" spans="2:2" x14ac:dyDescent="0.3">
      <c r="B52" s="18"/>
    </row>
    <row r="65" spans="22:25" x14ac:dyDescent="0.3">
      <c r="V65" s="316" t="s">
        <v>32</v>
      </c>
      <c r="W65" s="316"/>
      <c r="X65" s="316"/>
      <c r="Y65" s="27">
        <v>0.2</v>
      </c>
    </row>
    <row r="66" spans="22:25" x14ac:dyDescent="0.3">
      <c r="V66" s="316" t="s">
        <v>33</v>
      </c>
      <c r="W66" s="316"/>
      <c r="X66" s="316"/>
      <c r="Y66" s="27">
        <v>0.1</v>
      </c>
    </row>
    <row r="67" spans="22:25" x14ac:dyDescent="0.3">
      <c r="V67" s="316" t="s">
        <v>34</v>
      </c>
      <c r="W67" s="316"/>
      <c r="X67" s="316"/>
      <c r="Y67" s="27">
        <v>0.1</v>
      </c>
    </row>
  </sheetData>
  <sheetProtection algorithmName="SHA-512" hashValue="HMXkreZ7/C09vPvHhjwQa5RQwmOae44TtgwZ44CPIkP3nr9/nqP848dAetQipbBukovjJ2gbIH1hyTGW3PXPkw==" saltValue="zGFS+2I3i7WS9GsP5qtmSg==" spinCount="100000" sheet="1" objects="1" scenarios="1"/>
  <mergeCells count="14">
    <mergeCell ref="V67:X67"/>
    <mergeCell ref="B2:M2"/>
    <mergeCell ref="B4:F4"/>
    <mergeCell ref="G5:M5"/>
    <mergeCell ref="G7:M7"/>
    <mergeCell ref="D8:F8"/>
    <mergeCell ref="G10:M10"/>
    <mergeCell ref="G11:M11"/>
    <mergeCell ref="G12:M12"/>
    <mergeCell ref="V65:X65"/>
    <mergeCell ref="V66:X66"/>
    <mergeCell ref="C6:F6"/>
    <mergeCell ref="B44:M44"/>
    <mergeCell ref="B45:M45"/>
  </mergeCells>
  <printOptions horizontalCentered="1"/>
  <pageMargins left="0.7" right="0.7" top="0.75" bottom="0.75" header="0.3" footer="0.3"/>
  <pageSetup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EFE2-D1CC-49D7-A4D1-9AA3829AFD04}">
  <sheetPr>
    <tabColor rgb="FF00B050"/>
  </sheetPr>
  <dimension ref="B2:Y67"/>
  <sheetViews>
    <sheetView zoomScaleNormal="100" workbookViewId="0"/>
  </sheetViews>
  <sheetFormatPr defaultColWidth="9.1796875" defaultRowHeight="14" x14ac:dyDescent="0.3"/>
  <cols>
    <col min="1" max="1" width="4.1796875" style="25" customWidth="1"/>
    <col min="2" max="4" width="3.1796875" style="13" customWidth="1"/>
    <col min="5" max="5" width="40.26953125" style="13" customWidth="1"/>
    <col min="6" max="6" width="3.26953125" style="13" customWidth="1"/>
    <col min="7" max="9" width="11.26953125" style="13" customWidth="1"/>
    <col min="10" max="10" width="11.54296875" style="13" bestFit="1" customWidth="1"/>
    <col min="11" max="11" width="10.453125" style="13" bestFit="1" customWidth="1"/>
    <col min="12" max="12" width="10.1796875" style="13" bestFit="1" customWidth="1"/>
    <col min="13" max="13" width="8.453125" style="13" bestFit="1" customWidth="1"/>
    <col min="14" max="14" width="3.81640625" style="25" customWidth="1"/>
    <col min="15" max="16384" width="9.1796875" style="25"/>
  </cols>
  <sheetData>
    <row r="2" spans="2:13" x14ac:dyDescent="0.3">
      <c r="B2" s="308" t="s">
        <v>301</v>
      </c>
      <c r="C2" s="308"/>
      <c r="D2" s="308"/>
      <c r="E2" s="308"/>
      <c r="F2" s="308"/>
      <c r="G2" s="308"/>
      <c r="H2" s="308"/>
      <c r="I2" s="308"/>
      <c r="J2" s="308"/>
      <c r="K2" s="308"/>
      <c r="L2" s="308"/>
      <c r="M2" s="308"/>
    </row>
    <row r="3" spans="2:13" x14ac:dyDescent="0.3">
      <c r="B3" s="198"/>
      <c r="C3" s="199"/>
      <c r="D3" s="199"/>
      <c r="E3" s="199"/>
      <c r="F3" s="199"/>
      <c r="G3" s="200" t="s">
        <v>4</v>
      </c>
      <c r="H3" s="201" t="s">
        <v>5</v>
      </c>
      <c r="I3" s="202" t="s">
        <v>6</v>
      </c>
      <c r="J3" s="202" t="s">
        <v>7</v>
      </c>
      <c r="K3" s="202" t="s">
        <v>8</v>
      </c>
      <c r="L3" s="203" t="s">
        <v>9</v>
      </c>
      <c r="M3" s="203" t="s">
        <v>103</v>
      </c>
    </row>
    <row r="4" spans="2:13" ht="47" thickBot="1" x14ac:dyDescent="0.35">
      <c r="B4" s="309" t="s">
        <v>2</v>
      </c>
      <c r="C4" s="310"/>
      <c r="D4" s="310"/>
      <c r="E4" s="310"/>
      <c r="F4" s="311"/>
      <c r="G4" s="114" t="s">
        <v>10</v>
      </c>
      <c r="H4" s="115" t="s">
        <v>101</v>
      </c>
      <c r="I4" s="116" t="s">
        <v>87</v>
      </c>
      <c r="J4" s="116" t="s">
        <v>88</v>
      </c>
      <c r="K4" s="116" t="s">
        <v>89</v>
      </c>
      <c r="L4" s="116" t="s">
        <v>102</v>
      </c>
      <c r="M4" s="116" t="s">
        <v>290</v>
      </c>
    </row>
    <row r="5" spans="2:13" ht="12" customHeight="1" thickTop="1" x14ac:dyDescent="0.3">
      <c r="B5" s="204" t="s">
        <v>11</v>
      </c>
      <c r="C5" s="28" t="s">
        <v>12</v>
      </c>
      <c r="D5" s="29"/>
      <c r="E5" s="29"/>
      <c r="F5" s="30"/>
      <c r="G5" s="312" t="s">
        <v>13</v>
      </c>
      <c r="H5" s="313"/>
      <c r="I5" s="313"/>
      <c r="J5" s="313"/>
      <c r="K5" s="313"/>
      <c r="L5" s="313"/>
      <c r="M5" s="313"/>
    </row>
    <row r="6" spans="2:13" ht="12" customHeight="1" x14ac:dyDescent="0.3">
      <c r="B6" s="205" t="s">
        <v>14</v>
      </c>
      <c r="C6" s="314" t="s">
        <v>291</v>
      </c>
      <c r="D6" s="314"/>
      <c r="E6" s="314"/>
      <c r="F6" s="315"/>
      <c r="G6" s="158">
        <v>0</v>
      </c>
      <c r="H6" s="119">
        <v>24</v>
      </c>
      <c r="I6" s="119">
        <f>(G6*H6)</f>
        <v>0</v>
      </c>
      <c r="J6" s="119">
        <f>I6*0.05</f>
        <v>0</v>
      </c>
      <c r="K6" s="119">
        <f>I6*0.1</f>
        <v>0</v>
      </c>
      <c r="L6" s="119">
        <f>SUM(I6:K6)</f>
        <v>0</v>
      </c>
      <c r="M6" s="120">
        <f>I6*Inputs!$D$90+J6*Inputs!$D$91+K6*Inputs!$D$92</f>
        <v>0</v>
      </c>
    </row>
    <row r="7" spans="2:13" ht="12" customHeight="1" x14ac:dyDescent="0.3">
      <c r="B7" s="206" t="s">
        <v>15</v>
      </c>
      <c r="C7" s="31" t="s">
        <v>16</v>
      </c>
      <c r="D7" s="31"/>
      <c r="E7" s="31"/>
      <c r="F7" s="32"/>
      <c r="G7" s="306"/>
      <c r="H7" s="307"/>
      <c r="I7" s="307"/>
      <c r="J7" s="307"/>
      <c r="K7" s="307"/>
      <c r="L7" s="307"/>
      <c r="M7" s="307"/>
    </row>
    <row r="8" spans="2:13" ht="12" customHeight="1" x14ac:dyDescent="0.3">
      <c r="B8" s="207">
        <v>0.08</v>
      </c>
      <c r="C8" s="33" t="s">
        <v>17</v>
      </c>
      <c r="D8" s="303" t="s">
        <v>18</v>
      </c>
      <c r="E8" s="304"/>
      <c r="F8" s="305"/>
      <c r="G8" s="121">
        <f>'YR3'!G19+'YR3'!G28+'YR3'!G43</f>
        <v>2</v>
      </c>
      <c r="H8" s="122">
        <v>16</v>
      </c>
      <c r="I8" s="123">
        <f>(G8*H8)</f>
        <v>32</v>
      </c>
      <c r="J8" s="123">
        <f>I8*0.05</f>
        <v>1.6</v>
      </c>
      <c r="K8" s="123">
        <f>I8*0.1</f>
        <v>3.2</v>
      </c>
      <c r="L8" s="119">
        <f>SUM(I8:K8)</f>
        <v>36.800000000000004</v>
      </c>
      <c r="M8" s="120">
        <f>I8*Inputs!$D$90+J8*Inputs!$D$91+K8*Inputs!$D$92</f>
        <v>1838.6176</v>
      </c>
    </row>
    <row r="9" spans="2:13" ht="12" customHeight="1" x14ac:dyDescent="0.3">
      <c r="B9" s="208">
        <f>0.1*0.1</f>
        <v>1.0000000000000002E-2</v>
      </c>
      <c r="C9" s="34" t="s">
        <v>19</v>
      </c>
      <c r="D9" s="35" t="s">
        <v>20</v>
      </c>
      <c r="E9" s="35"/>
      <c r="F9" s="36"/>
      <c r="G9" s="159">
        <v>0</v>
      </c>
      <c r="H9" s="124">
        <v>24</v>
      </c>
      <c r="I9" s="125">
        <f>(G9*H9)</f>
        <v>0</v>
      </c>
      <c r="J9" s="125">
        <f>I9*0.05</f>
        <v>0</v>
      </c>
      <c r="K9" s="125">
        <f>I9*0.1</f>
        <v>0</v>
      </c>
      <c r="L9" s="119">
        <f>SUM(I9:K9)</f>
        <v>0</v>
      </c>
      <c r="M9" s="120">
        <f>I9*Inputs!$D$90+J9*Inputs!$D$91+K9*Inputs!$D$92</f>
        <v>0</v>
      </c>
    </row>
    <row r="10" spans="2:13" ht="12" customHeight="1" x14ac:dyDescent="0.3">
      <c r="B10" s="208"/>
      <c r="C10" s="37" t="s">
        <v>21</v>
      </c>
      <c r="D10" s="28" t="s">
        <v>22</v>
      </c>
      <c r="E10" s="28"/>
      <c r="F10" s="38"/>
      <c r="G10" s="306" t="s">
        <v>13</v>
      </c>
      <c r="H10" s="307"/>
      <c r="I10" s="307"/>
      <c r="J10" s="307"/>
      <c r="K10" s="307"/>
      <c r="L10" s="307"/>
      <c r="M10" s="307"/>
    </row>
    <row r="11" spans="2:13" ht="12" customHeight="1" x14ac:dyDescent="0.3">
      <c r="B11" s="207"/>
      <c r="C11" s="39" t="s">
        <v>23</v>
      </c>
      <c r="D11" s="40" t="s">
        <v>24</v>
      </c>
      <c r="E11" s="40"/>
      <c r="F11" s="41"/>
      <c r="G11" s="317" t="s">
        <v>13</v>
      </c>
      <c r="H11" s="318"/>
      <c r="I11" s="318"/>
      <c r="J11" s="318"/>
      <c r="K11" s="318"/>
      <c r="L11" s="318"/>
      <c r="M11" s="318"/>
    </row>
    <row r="12" spans="2:13" ht="12" customHeight="1" x14ac:dyDescent="0.3">
      <c r="B12" s="209"/>
      <c r="C12" s="42" t="s">
        <v>25</v>
      </c>
      <c r="D12" s="31" t="s">
        <v>26</v>
      </c>
      <c r="E12" s="31"/>
      <c r="F12" s="43"/>
      <c r="G12" s="306"/>
      <c r="H12" s="307"/>
      <c r="I12" s="307"/>
      <c r="J12" s="307"/>
      <c r="K12" s="307"/>
      <c r="L12" s="307"/>
      <c r="M12" s="307"/>
    </row>
    <row r="13" spans="2:13" ht="12" customHeight="1" x14ac:dyDescent="0.3">
      <c r="B13" s="210"/>
      <c r="C13" s="56"/>
      <c r="D13" s="112" t="s">
        <v>11</v>
      </c>
      <c r="E13" s="54" t="s">
        <v>131</v>
      </c>
      <c r="F13" s="57"/>
      <c r="G13" s="118"/>
      <c r="H13" s="126"/>
      <c r="I13" s="127"/>
      <c r="J13" s="127"/>
      <c r="K13" s="127"/>
      <c r="L13" s="119"/>
      <c r="M13" s="120"/>
    </row>
    <row r="14" spans="2:13" ht="12" customHeight="1" x14ac:dyDescent="0.3">
      <c r="B14" s="210"/>
      <c r="C14" s="56"/>
      <c r="D14" s="112"/>
      <c r="E14" s="54" t="s">
        <v>108</v>
      </c>
      <c r="F14" s="57"/>
      <c r="G14" s="118">
        <f>'YR3'!E49*'YR3'!G49</f>
        <v>13</v>
      </c>
      <c r="H14" s="126">
        <v>2</v>
      </c>
      <c r="I14" s="127">
        <f t="shared" ref="I14:I39" si="0">(G14*H14)</f>
        <v>26</v>
      </c>
      <c r="J14" s="127">
        <f t="shared" ref="J14:J34" si="1">I14*0.05</f>
        <v>1.3</v>
      </c>
      <c r="K14" s="127">
        <f t="shared" ref="K14:K34" si="2">I14*0.1</f>
        <v>2.6</v>
      </c>
      <c r="L14" s="119">
        <f t="shared" ref="L14:L39" si="3">SUM(I14:K14)</f>
        <v>29.900000000000002</v>
      </c>
      <c r="M14" s="120">
        <f>I14*Inputs!$D$90+J14*Inputs!$D$91+K14*Inputs!$D$92</f>
        <v>1493.8768</v>
      </c>
    </row>
    <row r="15" spans="2:13" ht="12" customHeight="1" x14ac:dyDescent="0.3">
      <c r="B15" s="210"/>
      <c r="C15" s="56"/>
      <c r="D15" s="112"/>
      <c r="E15" s="54" t="s">
        <v>109</v>
      </c>
      <c r="F15" s="57"/>
      <c r="G15" s="118">
        <f>'YR3'!E50*'YR3'!G50</f>
        <v>13</v>
      </c>
      <c r="H15" s="126">
        <v>2</v>
      </c>
      <c r="I15" s="127">
        <f t="shared" si="0"/>
        <v>26</v>
      </c>
      <c r="J15" s="127">
        <f t="shared" si="1"/>
        <v>1.3</v>
      </c>
      <c r="K15" s="127">
        <f t="shared" si="2"/>
        <v>2.6</v>
      </c>
      <c r="L15" s="119">
        <f t="shared" si="3"/>
        <v>29.900000000000002</v>
      </c>
      <c r="M15" s="120">
        <f>I15*Inputs!$D$90+J15*Inputs!$D$91+K15*Inputs!$D$92</f>
        <v>1493.8768</v>
      </c>
    </row>
    <row r="16" spans="2:13" ht="12" customHeight="1" x14ac:dyDescent="0.3">
      <c r="B16" s="210"/>
      <c r="C16" s="56"/>
      <c r="D16" s="112"/>
      <c r="E16" s="54" t="s">
        <v>244</v>
      </c>
      <c r="F16" s="57"/>
      <c r="G16" s="118">
        <f>'YR3'!E51*'YR3'!G51</f>
        <v>13</v>
      </c>
      <c r="H16" s="126">
        <v>2</v>
      </c>
      <c r="I16" s="127">
        <f t="shared" si="0"/>
        <v>26</v>
      </c>
      <c r="J16" s="127">
        <f t="shared" si="1"/>
        <v>1.3</v>
      </c>
      <c r="K16" s="127">
        <f t="shared" si="2"/>
        <v>2.6</v>
      </c>
      <c r="L16" s="119">
        <f t="shared" si="3"/>
        <v>29.900000000000002</v>
      </c>
      <c r="M16" s="120">
        <f>I16*Inputs!$D$90+J16*Inputs!$D$91+K16*Inputs!$D$92</f>
        <v>1493.8768</v>
      </c>
    </row>
    <row r="17" spans="2:13" ht="12" customHeight="1" x14ac:dyDescent="0.3">
      <c r="B17" s="210"/>
      <c r="C17" s="56"/>
      <c r="D17" s="112"/>
      <c r="E17" s="54" t="s">
        <v>245</v>
      </c>
      <c r="F17" s="57"/>
      <c r="G17" s="118">
        <f>'YR3'!E52*'YR3'!G52</f>
        <v>13</v>
      </c>
      <c r="H17" s="126">
        <v>2</v>
      </c>
      <c r="I17" s="127">
        <f t="shared" ref="I17" si="4">(G17*H17)</f>
        <v>26</v>
      </c>
      <c r="J17" s="127">
        <f t="shared" ref="J17" si="5">I17*0.05</f>
        <v>1.3</v>
      </c>
      <c r="K17" s="127">
        <f t="shared" ref="K17" si="6">I17*0.1</f>
        <v>2.6</v>
      </c>
      <c r="L17" s="119">
        <f t="shared" ref="L17" si="7">SUM(I17:K17)</f>
        <v>29.900000000000002</v>
      </c>
      <c r="M17" s="120">
        <f>I17*Inputs!$D$90+J17*Inputs!$D$91+K17*Inputs!$D$92</f>
        <v>1493.8768</v>
      </c>
    </row>
    <row r="18" spans="2:13" ht="12" customHeight="1" x14ac:dyDescent="0.3">
      <c r="B18" s="210"/>
      <c r="C18" s="56"/>
      <c r="D18" s="112"/>
      <c r="E18" s="54" t="s">
        <v>248</v>
      </c>
      <c r="F18" s="57"/>
      <c r="G18" s="118">
        <f>'YR3'!E53*'YR3'!G53</f>
        <v>13</v>
      </c>
      <c r="H18" s="126">
        <v>2</v>
      </c>
      <c r="I18" s="127">
        <f>(G18*H18)</f>
        <v>26</v>
      </c>
      <c r="J18" s="127">
        <f t="shared" si="1"/>
        <v>1.3</v>
      </c>
      <c r="K18" s="127">
        <f t="shared" si="2"/>
        <v>2.6</v>
      </c>
      <c r="L18" s="119">
        <f t="shared" si="3"/>
        <v>29.900000000000002</v>
      </c>
      <c r="M18" s="120">
        <f>I18*Inputs!$D$90+J18*Inputs!$D$91+K18*Inputs!$D$92</f>
        <v>1493.8768</v>
      </c>
    </row>
    <row r="19" spans="2:13" ht="12" customHeight="1" x14ac:dyDescent="0.3">
      <c r="B19" s="210"/>
      <c r="C19" s="56"/>
      <c r="D19" s="112"/>
      <c r="E19" s="54" t="s">
        <v>250</v>
      </c>
      <c r="F19" s="57"/>
      <c r="G19" s="118">
        <f>'YR3'!E54*'YR3'!G54</f>
        <v>1</v>
      </c>
      <c r="H19" s="126">
        <v>2</v>
      </c>
      <c r="I19" s="127">
        <f t="shared" ref="I19:I21" si="8">(G19*H19)</f>
        <v>2</v>
      </c>
      <c r="J19" s="127">
        <f t="shared" si="1"/>
        <v>0.1</v>
      </c>
      <c r="K19" s="127">
        <f t="shared" si="2"/>
        <v>0.2</v>
      </c>
      <c r="L19" s="119">
        <f t="shared" si="3"/>
        <v>2.3000000000000003</v>
      </c>
      <c r="M19" s="120">
        <f>I19*Inputs!$D$90+J19*Inputs!$D$91+K19*Inputs!$D$92</f>
        <v>114.9136</v>
      </c>
    </row>
    <row r="20" spans="2:13" ht="12" customHeight="1" x14ac:dyDescent="0.3">
      <c r="B20" s="210"/>
      <c r="C20" s="56"/>
      <c r="D20" s="112"/>
      <c r="E20" s="54" t="s">
        <v>249</v>
      </c>
      <c r="F20" s="57"/>
      <c r="G20" s="118">
        <f>'YR3'!E55*'YR3'!G55</f>
        <v>1</v>
      </c>
      <c r="H20" s="126">
        <v>2</v>
      </c>
      <c r="I20" s="127">
        <f t="shared" si="8"/>
        <v>2</v>
      </c>
      <c r="J20" s="127">
        <f t="shared" si="1"/>
        <v>0.1</v>
      </c>
      <c r="K20" s="127">
        <f t="shared" si="2"/>
        <v>0.2</v>
      </c>
      <c r="L20" s="119">
        <f t="shared" si="3"/>
        <v>2.3000000000000003</v>
      </c>
      <c r="M20" s="120">
        <f>I20*Inputs!$D$90+J20*Inputs!$D$91+K20*Inputs!$D$92</f>
        <v>114.9136</v>
      </c>
    </row>
    <row r="21" spans="2:13" ht="12" customHeight="1" x14ac:dyDescent="0.3">
      <c r="B21" s="210"/>
      <c r="C21" s="56"/>
      <c r="D21" s="112"/>
      <c r="E21" s="54" t="s">
        <v>229</v>
      </c>
      <c r="F21" s="57"/>
      <c r="G21" s="118">
        <f>'YR3'!E56*'YR3'!G56</f>
        <v>1</v>
      </c>
      <c r="H21" s="126">
        <v>2</v>
      </c>
      <c r="I21" s="127">
        <f t="shared" si="8"/>
        <v>2</v>
      </c>
      <c r="J21" s="127">
        <f t="shared" si="1"/>
        <v>0.1</v>
      </c>
      <c r="K21" s="127">
        <f t="shared" si="2"/>
        <v>0.2</v>
      </c>
      <c r="L21" s="119">
        <f t="shared" si="3"/>
        <v>2.3000000000000003</v>
      </c>
      <c r="M21" s="120">
        <f>I21*Inputs!$D$90+J21*Inputs!$D$91+K21*Inputs!$D$92</f>
        <v>114.9136</v>
      </c>
    </row>
    <row r="22" spans="2:13" ht="12" customHeight="1" x14ac:dyDescent="0.3">
      <c r="B22" s="210"/>
      <c r="C22" s="56"/>
      <c r="D22" s="112" t="s">
        <v>14</v>
      </c>
      <c r="E22" s="58" t="s">
        <v>159</v>
      </c>
      <c r="F22" s="57"/>
      <c r="G22" s="118"/>
      <c r="H22" s="126"/>
      <c r="I22" s="127"/>
      <c r="J22" s="127"/>
      <c r="K22" s="127"/>
      <c r="L22" s="119"/>
      <c r="M22" s="120"/>
    </row>
    <row r="23" spans="2:13" ht="12" customHeight="1" x14ac:dyDescent="0.3">
      <c r="B23" s="210"/>
      <c r="C23" s="56"/>
      <c r="D23" s="112"/>
      <c r="E23" s="58" t="s">
        <v>108</v>
      </c>
      <c r="F23" s="57"/>
      <c r="G23" s="118">
        <f>'YR3'!E58*'YR3'!G58</f>
        <v>26</v>
      </c>
      <c r="H23" s="126">
        <v>2</v>
      </c>
      <c r="I23" s="127">
        <f t="shared" ref="I23:I33" si="9">(G23*H23)</f>
        <v>52</v>
      </c>
      <c r="J23" s="127">
        <f t="shared" ref="J23:J33" si="10">I23*0.05</f>
        <v>2.6</v>
      </c>
      <c r="K23" s="127">
        <f t="shared" ref="K23:K33" si="11">I23*0.1</f>
        <v>5.2</v>
      </c>
      <c r="L23" s="119">
        <f t="shared" ref="L23:L33" si="12">SUM(I23:K23)</f>
        <v>59.800000000000004</v>
      </c>
      <c r="M23" s="120">
        <f>I23*Inputs!$D$90+J23*Inputs!$D$91+K23*Inputs!$D$92</f>
        <v>2987.7536</v>
      </c>
    </row>
    <row r="24" spans="2:13" ht="12" customHeight="1" x14ac:dyDescent="0.3">
      <c r="B24" s="210"/>
      <c r="C24" s="56"/>
      <c r="D24" s="112"/>
      <c r="E24" s="58" t="s">
        <v>109</v>
      </c>
      <c r="F24" s="57"/>
      <c r="G24" s="118">
        <f>'YR3'!E59*'YR3'!G59</f>
        <v>26</v>
      </c>
      <c r="H24" s="126">
        <v>2</v>
      </c>
      <c r="I24" s="127">
        <f t="shared" si="9"/>
        <v>52</v>
      </c>
      <c r="J24" s="127">
        <f t="shared" si="10"/>
        <v>2.6</v>
      </c>
      <c r="K24" s="127">
        <f t="shared" si="11"/>
        <v>5.2</v>
      </c>
      <c r="L24" s="119">
        <f t="shared" si="12"/>
        <v>59.800000000000004</v>
      </c>
      <c r="M24" s="120">
        <f>I24*Inputs!$D$90+J24*Inputs!$D$91+K24*Inputs!$D$92</f>
        <v>2987.7536</v>
      </c>
    </row>
    <row r="25" spans="2:13" ht="12" customHeight="1" x14ac:dyDescent="0.3">
      <c r="B25" s="210"/>
      <c r="C25" s="56"/>
      <c r="D25" s="112"/>
      <c r="E25" s="58" t="s">
        <v>230</v>
      </c>
      <c r="F25" s="57"/>
      <c r="G25" s="118">
        <f>'YR3'!E60*'YR3'!G60</f>
        <v>26</v>
      </c>
      <c r="H25" s="126">
        <v>2</v>
      </c>
      <c r="I25" s="127">
        <f t="shared" si="9"/>
        <v>52</v>
      </c>
      <c r="J25" s="127">
        <f t="shared" si="10"/>
        <v>2.6</v>
      </c>
      <c r="K25" s="127">
        <f t="shared" si="11"/>
        <v>5.2</v>
      </c>
      <c r="L25" s="119">
        <f t="shared" si="12"/>
        <v>59.800000000000004</v>
      </c>
      <c r="M25" s="120">
        <f>I25*Inputs!$D$90+J25*Inputs!$D$91+K25*Inputs!$D$92</f>
        <v>2987.7536</v>
      </c>
    </row>
    <row r="26" spans="2:13" ht="12" customHeight="1" x14ac:dyDescent="0.3">
      <c r="B26" s="210"/>
      <c r="C26" s="56"/>
      <c r="D26" s="112"/>
      <c r="E26" s="58" t="s">
        <v>246</v>
      </c>
      <c r="F26" s="57"/>
      <c r="G26" s="118">
        <f>'YR3'!E61*'YR3'!G61</f>
        <v>26</v>
      </c>
      <c r="H26" s="126">
        <v>2</v>
      </c>
      <c r="I26" s="127">
        <f t="shared" ref="I26" si="13">(G26*H26)</f>
        <v>52</v>
      </c>
      <c r="J26" s="127">
        <f t="shared" ref="J26" si="14">I26*0.05</f>
        <v>2.6</v>
      </c>
      <c r="K26" s="127">
        <f t="shared" ref="K26" si="15">I26*0.1</f>
        <v>5.2</v>
      </c>
      <c r="L26" s="119">
        <f t="shared" ref="L26" si="16">SUM(I26:K26)</f>
        <v>59.800000000000004</v>
      </c>
      <c r="M26" s="120">
        <f>I26*Inputs!$D$90+J26*Inputs!$D$91+K26*Inputs!$D$92</f>
        <v>2987.7536</v>
      </c>
    </row>
    <row r="27" spans="2:13" ht="12" customHeight="1" x14ac:dyDescent="0.3">
      <c r="B27" s="210"/>
      <c r="C27" s="56"/>
      <c r="D27" s="112"/>
      <c r="E27" s="58" t="s">
        <v>231</v>
      </c>
      <c r="F27" s="57"/>
      <c r="G27" s="118">
        <f>'YR3'!E62*'YR3'!G62</f>
        <v>0</v>
      </c>
      <c r="H27" s="126">
        <v>2</v>
      </c>
      <c r="I27" s="127">
        <f t="shared" si="9"/>
        <v>0</v>
      </c>
      <c r="J27" s="127">
        <f t="shared" si="10"/>
        <v>0</v>
      </c>
      <c r="K27" s="127">
        <f t="shared" si="11"/>
        <v>0</v>
      </c>
      <c r="L27" s="119">
        <f t="shared" si="12"/>
        <v>0</v>
      </c>
      <c r="M27" s="120">
        <f>I27*Inputs!$D$90+J27*Inputs!$D$91+K27*Inputs!$D$92</f>
        <v>0</v>
      </c>
    </row>
    <row r="28" spans="2:13" ht="12" customHeight="1" x14ac:dyDescent="0.3">
      <c r="B28" s="210"/>
      <c r="C28" s="56"/>
      <c r="D28" s="112"/>
      <c r="E28" s="58" t="s">
        <v>232</v>
      </c>
      <c r="F28" s="57"/>
      <c r="G28" s="118">
        <f>'YR3'!E63*'YR3'!G63</f>
        <v>26</v>
      </c>
      <c r="H28" s="126">
        <v>2</v>
      </c>
      <c r="I28" s="127">
        <f t="shared" si="9"/>
        <v>52</v>
      </c>
      <c r="J28" s="127">
        <f t="shared" si="10"/>
        <v>2.6</v>
      </c>
      <c r="K28" s="127">
        <f t="shared" si="11"/>
        <v>5.2</v>
      </c>
      <c r="L28" s="119">
        <f t="shared" si="12"/>
        <v>59.800000000000004</v>
      </c>
      <c r="M28" s="120">
        <f>I28*Inputs!$D$90+J28*Inputs!$D$91+K28*Inputs!$D$92</f>
        <v>2987.7536</v>
      </c>
    </row>
    <row r="29" spans="2:13" ht="12" customHeight="1" x14ac:dyDescent="0.3">
      <c r="B29" s="210"/>
      <c r="C29" s="56"/>
      <c r="D29" s="112"/>
      <c r="E29" s="58" t="s">
        <v>233</v>
      </c>
      <c r="F29" s="57"/>
      <c r="G29" s="118">
        <f>'YR3'!E64*'YR3'!G64</f>
        <v>26</v>
      </c>
      <c r="H29" s="126">
        <v>2</v>
      </c>
      <c r="I29" s="127">
        <f t="shared" si="9"/>
        <v>52</v>
      </c>
      <c r="J29" s="127">
        <f t="shared" si="10"/>
        <v>2.6</v>
      </c>
      <c r="K29" s="127">
        <f t="shared" si="11"/>
        <v>5.2</v>
      </c>
      <c r="L29" s="119">
        <f t="shared" si="12"/>
        <v>59.800000000000004</v>
      </c>
      <c r="M29" s="120">
        <f>I29*Inputs!$D$90+J29*Inputs!$D$91+K29*Inputs!$D$92</f>
        <v>2987.7536</v>
      </c>
    </row>
    <row r="30" spans="2:13" ht="12" customHeight="1" x14ac:dyDescent="0.3">
      <c r="B30" s="210"/>
      <c r="C30" s="56"/>
      <c r="D30" s="112"/>
      <c r="E30" s="58" t="s">
        <v>234</v>
      </c>
      <c r="F30" s="57"/>
      <c r="G30" s="118">
        <f>'YR3'!E65*'YR3'!G65</f>
        <v>2</v>
      </c>
      <c r="H30" s="126">
        <v>2</v>
      </c>
      <c r="I30" s="127">
        <f t="shared" si="9"/>
        <v>4</v>
      </c>
      <c r="J30" s="127">
        <f t="shared" si="10"/>
        <v>0.2</v>
      </c>
      <c r="K30" s="127">
        <f t="shared" si="11"/>
        <v>0.4</v>
      </c>
      <c r="L30" s="119">
        <f t="shared" si="12"/>
        <v>4.6000000000000005</v>
      </c>
      <c r="M30" s="120">
        <f>I30*Inputs!$D$90+J30*Inputs!$D$91+K30*Inputs!$D$92</f>
        <v>229.8272</v>
      </c>
    </row>
    <row r="31" spans="2:13" ht="12" customHeight="1" x14ac:dyDescent="0.3">
      <c r="B31" s="210"/>
      <c r="C31" s="56"/>
      <c r="D31" s="112"/>
      <c r="E31" s="58" t="s">
        <v>235</v>
      </c>
      <c r="F31" s="57"/>
      <c r="G31" s="118">
        <f>'YR3'!E66*'YR3'!G66</f>
        <v>26</v>
      </c>
      <c r="H31" s="126">
        <v>2</v>
      </c>
      <c r="I31" s="127">
        <f t="shared" si="9"/>
        <v>52</v>
      </c>
      <c r="J31" s="127">
        <f t="shared" si="10"/>
        <v>2.6</v>
      </c>
      <c r="K31" s="127">
        <f t="shared" si="11"/>
        <v>5.2</v>
      </c>
      <c r="L31" s="119">
        <f t="shared" si="12"/>
        <v>59.800000000000004</v>
      </c>
      <c r="M31" s="120">
        <f>I31*Inputs!$D$90+J31*Inputs!$D$91+K31*Inputs!$D$92</f>
        <v>2987.7536</v>
      </c>
    </row>
    <row r="32" spans="2:13" ht="12" customHeight="1" x14ac:dyDescent="0.3">
      <c r="B32" s="210"/>
      <c r="C32" s="56"/>
      <c r="D32" s="112"/>
      <c r="E32" s="58" t="s">
        <v>242</v>
      </c>
      <c r="F32" s="57"/>
      <c r="G32" s="118">
        <f>'YR3'!E67*'YR3'!G67</f>
        <v>2</v>
      </c>
      <c r="H32" s="126">
        <v>2</v>
      </c>
      <c r="I32" s="127">
        <f t="shared" si="9"/>
        <v>4</v>
      </c>
      <c r="J32" s="127">
        <f t="shared" si="10"/>
        <v>0.2</v>
      </c>
      <c r="K32" s="127">
        <f t="shared" si="11"/>
        <v>0.4</v>
      </c>
      <c r="L32" s="119">
        <f t="shared" si="12"/>
        <v>4.6000000000000005</v>
      </c>
      <c r="M32" s="120">
        <f>I32*Inputs!$D$90+J32*Inputs!$D$91+K32*Inputs!$D$92</f>
        <v>229.8272</v>
      </c>
    </row>
    <row r="33" spans="2:13" ht="12" customHeight="1" x14ac:dyDescent="0.3">
      <c r="B33" s="210"/>
      <c r="C33" s="56"/>
      <c r="D33" s="112"/>
      <c r="E33" s="58" t="s">
        <v>236</v>
      </c>
      <c r="F33" s="57"/>
      <c r="G33" s="118">
        <f>'YR3'!E68*'YR3'!G68</f>
        <v>2</v>
      </c>
      <c r="H33" s="126">
        <v>2</v>
      </c>
      <c r="I33" s="127">
        <f t="shared" si="9"/>
        <v>4</v>
      </c>
      <c r="J33" s="127">
        <f t="shared" si="10"/>
        <v>0.2</v>
      </c>
      <c r="K33" s="127">
        <f t="shared" si="11"/>
        <v>0.4</v>
      </c>
      <c r="L33" s="119">
        <f t="shared" si="12"/>
        <v>4.6000000000000005</v>
      </c>
      <c r="M33" s="120">
        <f>I33*Inputs!$D$90+J33*Inputs!$D$91+K33*Inputs!$D$92</f>
        <v>229.8272</v>
      </c>
    </row>
    <row r="34" spans="2:13" ht="12" customHeight="1" x14ac:dyDescent="0.3">
      <c r="B34" s="210"/>
      <c r="C34" s="56"/>
      <c r="D34" s="112" t="s">
        <v>15</v>
      </c>
      <c r="E34" s="58" t="s">
        <v>130</v>
      </c>
      <c r="F34" s="57"/>
      <c r="G34" s="118">
        <f>'YR3'!E86*'YR3'!G86</f>
        <v>13</v>
      </c>
      <c r="H34" s="126">
        <v>5</v>
      </c>
      <c r="I34" s="127">
        <f t="shared" si="0"/>
        <v>65</v>
      </c>
      <c r="J34" s="127">
        <f t="shared" si="1"/>
        <v>3.25</v>
      </c>
      <c r="K34" s="127">
        <f t="shared" si="2"/>
        <v>6.5</v>
      </c>
      <c r="L34" s="119">
        <f t="shared" si="3"/>
        <v>74.75</v>
      </c>
      <c r="M34" s="120">
        <f>I34*Inputs!$D$90+J34*Inputs!$D$91+K34*Inputs!$D$92</f>
        <v>3734.6920000000005</v>
      </c>
    </row>
    <row r="35" spans="2:13" ht="12" customHeight="1" x14ac:dyDescent="0.3">
      <c r="B35" s="210"/>
      <c r="C35" s="56"/>
      <c r="D35" s="112" t="s">
        <v>50</v>
      </c>
      <c r="E35" s="58" t="s">
        <v>184</v>
      </c>
      <c r="F35" s="57"/>
      <c r="G35" s="118"/>
      <c r="H35" s="126"/>
      <c r="I35" s="127"/>
      <c r="J35" s="127"/>
      <c r="K35" s="127"/>
      <c r="L35" s="119"/>
      <c r="M35" s="120"/>
    </row>
    <row r="36" spans="2:13" ht="12" customHeight="1" x14ac:dyDescent="0.3">
      <c r="B36" s="210"/>
      <c r="C36" s="56"/>
      <c r="D36" s="112"/>
      <c r="E36" s="58" t="s">
        <v>212</v>
      </c>
      <c r="F36" s="57"/>
      <c r="G36" s="118">
        <f>'YR3'!E70*'YR3'!G70</f>
        <v>13</v>
      </c>
      <c r="H36" s="126">
        <v>5</v>
      </c>
      <c r="I36" s="127">
        <f t="shared" ref="I36:I38" si="17">(G36*H36)</f>
        <v>65</v>
      </c>
      <c r="J36" s="127">
        <f t="shared" ref="J36:J39" si="18">I36*0.05</f>
        <v>3.25</v>
      </c>
      <c r="K36" s="127">
        <f t="shared" ref="K36:K39" si="19">I36*0.1</f>
        <v>6.5</v>
      </c>
      <c r="L36" s="119">
        <f t="shared" ref="L36:L38" si="20">SUM(I36:K36)</f>
        <v>74.75</v>
      </c>
      <c r="M36" s="120">
        <f>I36*Inputs!$D$90+J36*Inputs!$D$91+K36*Inputs!$D$92</f>
        <v>3734.6920000000005</v>
      </c>
    </row>
    <row r="37" spans="2:13" ht="12" customHeight="1" x14ac:dyDescent="0.3">
      <c r="B37" s="210"/>
      <c r="C37" s="56"/>
      <c r="D37" s="112"/>
      <c r="E37" s="58" t="s">
        <v>199</v>
      </c>
      <c r="F37" s="57"/>
      <c r="G37" s="118">
        <f>'YR3'!E71*'YR3'!G71</f>
        <v>19</v>
      </c>
      <c r="H37" s="126">
        <v>5</v>
      </c>
      <c r="I37" s="127">
        <f t="shared" si="17"/>
        <v>95</v>
      </c>
      <c r="J37" s="127">
        <f t="shared" si="18"/>
        <v>4.75</v>
      </c>
      <c r="K37" s="127">
        <f t="shared" si="19"/>
        <v>9.5</v>
      </c>
      <c r="L37" s="119">
        <f t="shared" si="20"/>
        <v>109.25</v>
      </c>
      <c r="M37" s="120">
        <f>I37*Inputs!$D$90+J37*Inputs!$D$91+K37*Inputs!$D$92</f>
        <v>5458.3960000000015</v>
      </c>
    </row>
    <row r="38" spans="2:13" ht="12" customHeight="1" x14ac:dyDescent="0.3">
      <c r="B38" s="210"/>
      <c r="C38" s="56"/>
      <c r="D38" s="112"/>
      <c r="E38" s="58" t="s">
        <v>200</v>
      </c>
      <c r="F38" s="57"/>
      <c r="G38" s="118">
        <f>'YR3'!E72*'YR3'!G72</f>
        <v>52</v>
      </c>
      <c r="H38" s="126">
        <v>2</v>
      </c>
      <c r="I38" s="127">
        <f t="shared" si="17"/>
        <v>104</v>
      </c>
      <c r="J38" s="127">
        <f t="shared" si="18"/>
        <v>5.2</v>
      </c>
      <c r="K38" s="127">
        <f t="shared" si="19"/>
        <v>10.4</v>
      </c>
      <c r="L38" s="119">
        <f t="shared" si="20"/>
        <v>119.60000000000001</v>
      </c>
      <c r="M38" s="120">
        <f>I38*Inputs!$D$90+J38*Inputs!$D$91+K38*Inputs!$D$92</f>
        <v>5975.5072</v>
      </c>
    </row>
    <row r="39" spans="2:13" ht="12" customHeight="1" x14ac:dyDescent="0.3">
      <c r="B39" s="211"/>
      <c r="C39" s="53" t="s">
        <v>27</v>
      </c>
      <c r="D39" s="54" t="s">
        <v>28</v>
      </c>
      <c r="E39" s="54"/>
      <c r="F39" s="55"/>
      <c r="G39" s="128">
        <v>1</v>
      </c>
      <c r="H39" s="127">
        <v>10</v>
      </c>
      <c r="I39" s="127">
        <f t="shared" si="0"/>
        <v>10</v>
      </c>
      <c r="J39" s="127">
        <f t="shared" si="18"/>
        <v>0.5</v>
      </c>
      <c r="K39" s="127">
        <f t="shared" si="19"/>
        <v>1</v>
      </c>
      <c r="L39" s="119">
        <f t="shared" si="3"/>
        <v>11.5</v>
      </c>
      <c r="M39" s="120">
        <f>I39*Inputs!$D$90+J39*Inputs!$D$91+K39*Inputs!$D$92</f>
        <v>574.56799999999998</v>
      </c>
    </row>
    <row r="40" spans="2:13" ht="12" customHeight="1" thickBot="1" x14ac:dyDescent="0.35">
      <c r="B40" s="212" t="s">
        <v>50</v>
      </c>
      <c r="C40" s="48" t="s">
        <v>29</v>
      </c>
      <c r="D40" s="49"/>
      <c r="E40" s="49"/>
      <c r="F40" s="49"/>
      <c r="G40" s="50"/>
      <c r="H40" s="44"/>
      <c r="I40" s="44"/>
      <c r="J40" s="51">
        <f>IF(G8=0,"$0",1*3.75*75+600)</f>
        <v>881.25</v>
      </c>
      <c r="K40" s="52" t="s">
        <v>30</v>
      </c>
      <c r="L40" s="52"/>
      <c r="M40" s="45">
        <f>IF(ISTEXT(J40),0,G8*J40)</f>
        <v>1762.5</v>
      </c>
    </row>
    <row r="41" spans="2:13" ht="12" customHeight="1" thickTop="1" x14ac:dyDescent="0.3">
      <c r="B41" s="213"/>
      <c r="C41" s="214" t="s">
        <v>31</v>
      </c>
      <c r="D41" s="215"/>
      <c r="E41" s="215"/>
      <c r="F41" s="54"/>
      <c r="G41" s="216"/>
      <c r="H41" s="217"/>
      <c r="I41" s="218">
        <f>SUM(I6:I39)</f>
        <v>883</v>
      </c>
      <c r="J41" s="218">
        <f>SUM(J6:J39)</f>
        <v>44.150000000000006</v>
      </c>
      <c r="K41" s="218">
        <f>SUM(K6:K39)</f>
        <v>88.300000000000011</v>
      </c>
      <c r="L41" s="218">
        <f>SUM(L6:L39)</f>
        <v>1015.4500000000002</v>
      </c>
      <c r="M41" s="219">
        <f>SUM(M6:M40)</f>
        <v>52496.854400000004</v>
      </c>
    </row>
    <row r="42" spans="2:13" ht="12" customHeight="1" x14ac:dyDescent="0.3">
      <c r="B42" s="8"/>
      <c r="C42" s="8"/>
      <c r="D42" s="8"/>
      <c r="E42" s="8"/>
      <c r="F42" s="8"/>
      <c r="G42" s="8"/>
      <c r="H42" s="14"/>
      <c r="I42" s="15"/>
      <c r="J42" s="15"/>
      <c r="K42" s="15"/>
      <c r="L42" s="15"/>
      <c r="M42" s="15"/>
    </row>
    <row r="43" spans="2:13" ht="12" customHeight="1" x14ac:dyDescent="0.3">
      <c r="B43" s="46" t="s">
        <v>86</v>
      </c>
      <c r="C43" s="46"/>
      <c r="D43" s="8"/>
      <c r="E43" s="8"/>
      <c r="F43" s="16"/>
      <c r="G43" s="8"/>
      <c r="H43" s="14"/>
      <c r="I43" s="15"/>
      <c r="J43" s="15"/>
      <c r="K43" s="15"/>
      <c r="L43" s="15"/>
      <c r="M43" s="15"/>
    </row>
    <row r="44" spans="2:13" ht="12" customHeight="1" x14ac:dyDescent="0.3">
      <c r="B44" s="319" t="s">
        <v>292</v>
      </c>
      <c r="C44" s="319"/>
      <c r="D44" s="319"/>
      <c r="E44" s="319"/>
      <c r="F44" s="319"/>
      <c r="G44" s="319"/>
      <c r="H44" s="319"/>
      <c r="I44" s="319"/>
      <c r="J44" s="319"/>
      <c r="K44" s="319"/>
      <c r="L44" s="319"/>
      <c r="M44" s="319"/>
    </row>
    <row r="45" spans="2:13" ht="25.9" customHeight="1" x14ac:dyDescent="0.3">
      <c r="B45" s="320" t="s">
        <v>293</v>
      </c>
      <c r="C45" s="320"/>
      <c r="D45" s="320"/>
      <c r="E45" s="320"/>
      <c r="F45" s="320"/>
      <c r="G45" s="320"/>
      <c r="H45" s="320"/>
      <c r="I45" s="320"/>
      <c r="J45" s="320"/>
      <c r="K45" s="320"/>
      <c r="L45" s="320"/>
      <c r="M45" s="320"/>
    </row>
    <row r="46" spans="2:13" ht="12" customHeight="1" x14ac:dyDescent="0.3">
      <c r="B46" s="47"/>
      <c r="C46" s="46"/>
      <c r="D46" s="8"/>
      <c r="E46" s="8"/>
      <c r="F46" s="8"/>
      <c r="G46" s="8"/>
      <c r="H46" s="14"/>
      <c r="I46" s="15"/>
      <c r="J46" s="15"/>
      <c r="K46" s="15"/>
      <c r="L46" s="15"/>
      <c r="M46" s="15"/>
    </row>
    <row r="47" spans="2:13" ht="12" customHeight="1" x14ac:dyDescent="0.3">
      <c r="B47" s="47"/>
      <c r="C47" s="46"/>
      <c r="D47" s="8"/>
      <c r="E47" s="8"/>
      <c r="F47" s="8"/>
      <c r="G47" s="8"/>
      <c r="H47" s="14"/>
      <c r="I47" s="15"/>
      <c r="J47" s="15"/>
      <c r="K47" s="15"/>
      <c r="L47" s="15"/>
      <c r="M47" s="15"/>
    </row>
    <row r="48" spans="2:13" ht="12" customHeight="1" x14ac:dyDescent="0.3">
      <c r="B48" s="47"/>
      <c r="C48" s="46"/>
    </row>
    <row r="49" spans="2:2" x14ac:dyDescent="0.3">
      <c r="B49" s="18"/>
    </row>
    <row r="50" spans="2:2" x14ac:dyDescent="0.3">
      <c r="B50" s="18"/>
    </row>
    <row r="51" spans="2:2" x14ac:dyDescent="0.3">
      <c r="B51" s="18"/>
    </row>
    <row r="52" spans="2:2" x14ac:dyDescent="0.3">
      <c r="B52" s="18"/>
    </row>
    <row r="65" spans="22:25" x14ac:dyDescent="0.3">
      <c r="V65" s="316" t="s">
        <v>32</v>
      </c>
      <c r="W65" s="316"/>
      <c r="X65" s="316"/>
      <c r="Y65" s="27">
        <v>0.2</v>
      </c>
    </row>
    <row r="66" spans="22:25" x14ac:dyDescent="0.3">
      <c r="V66" s="316" t="s">
        <v>33</v>
      </c>
      <c r="W66" s="316"/>
      <c r="X66" s="316"/>
      <c r="Y66" s="27">
        <v>0.1</v>
      </c>
    </row>
    <row r="67" spans="22:25" x14ac:dyDescent="0.3">
      <c r="V67" s="316" t="s">
        <v>34</v>
      </c>
      <c r="W67" s="316"/>
      <c r="X67" s="316"/>
      <c r="Y67" s="27">
        <v>0.1</v>
      </c>
    </row>
  </sheetData>
  <sheetProtection algorithmName="SHA-512" hashValue="FECd3iYI4PaP1x3gb2s3+lqcsu+mKRV0JdlUznMEEzcEYOnMCATfMaen81vrOw9g3vx0+2573j0R4KcNxPH02w==" saltValue="7kHuUI6d5s1J3IOXegBuEw==" spinCount="100000" sheet="1" objects="1" scenarios="1"/>
  <mergeCells count="14">
    <mergeCell ref="V67:X67"/>
    <mergeCell ref="B2:M2"/>
    <mergeCell ref="B4:F4"/>
    <mergeCell ref="G5:M5"/>
    <mergeCell ref="G7:M7"/>
    <mergeCell ref="D8:F8"/>
    <mergeCell ref="G10:M10"/>
    <mergeCell ref="G11:M11"/>
    <mergeCell ref="G12:M12"/>
    <mergeCell ref="V65:X65"/>
    <mergeCell ref="V66:X66"/>
    <mergeCell ref="C6:F6"/>
    <mergeCell ref="B44:M44"/>
    <mergeCell ref="B45:M45"/>
  </mergeCells>
  <printOptions horizontalCentered="1"/>
  <pageMargins left="0.7" right="0.7" top="0.75" bottom="0.75" header="0.3" footer="0.3"/>
  <pageSetup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4BEA793E871741BB5BFC015BE97561" ma:contentTypeVersion="11" ma:contentTypeDescription="Create a new document." ma:contentTypeScope="" ma:versionID="ea566342c01f458e21b9901286ccdea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6a8cd57-5784-4cac-a6bd-5ef783e3d2a5" xmlns:ns6="4d27f04f-83d7-4d75-8ccf-cd2a30d94274" targetNamespace="http://schemas.microsoft.com/office/2006/metadata/properties" ma:root="true" ma:fieldsID="e1398481648e11644d314064f13def64" ns1:_="" ns2:_="" ns3:_="" ns4:_="" ns5:_="" ns6:_="">
    <xsd:import namespace="http://schemas.microsoft.com/sharepoint/v3"/>
    <xsd:import namespace="4ffa91fb-a0ff-4ac5-b2db-65c790d184a4"/>
    <xsd:import namespace="http://schemas.microsoft.com/sharepoint.v3"/>
    <xsd:import namespace="http://schemas.microsoft.com/sharepoint/v3/fields"/>
    <xsd:import namespace="46a8cd57-5784-4cac-a6bd-5ef783e3d2a5"/>
    <xsd:import namespace="4d27f04f-83d7-4d75-8ccf-cd2a30d9427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DateTaken" minOccurs="0"/>
                <xsd:element ref="ns5:MediaLengthInSeconds" minOccurs="0"/>
                <xsd:element ref="ns5:lcf76f155ced4ddcb4097134ff3c332f" minOccurs="0"/>
                <xsd:element ref="ns5:MediaServiceOCR" minOccurs="0"/>
                <xsd:element ref="ns5:MediaServiceGenerationTime" minOccurs="0"/>
                <xsd:element ref="ns5:MediaServiceEventHashCode"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7e64720-fcbf-4c31-9123-2c110f2663c7}" ma:internalName="TaxCatchAllLabel" ma:readOnly="true" ma:showField="CatchAllDataLabel" ma:web="4d27f04f-83d7-4d75-8ccf-cd2a30d9427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7e64720-fcbf-4c31-9123-2c110f2663c7}" ma:internalName="TaxCatchAll" ma:showField="CatchAllData" ma:web="4d27f04f-83d7-4d75-8ccf-cd2a30d942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a8cd57-5784-4cac-a6bd-5ef783e3d2a5"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27f04f-83d7-4d75-8ccf-cd2a30d94274"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2020-04-20T15:13:55+00:00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46a8cd57-5784-4cac-a6bd-5ef783e3d2a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F4E7B98-4CE1-4FA9-98F6-E36DE881F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6a8cd57-5784-4cac-a6bd-5ef783e3d2a5"/>
    <ds:schemaRef ds:uri="4d27f04f-83d7-4d75-8ccf-cd2a30d942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58112E-49B8-41F9-8A27-72D8DA685FAC}">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46a8cd57-5784-4cac-a6bd-5ef783e3d2a5"/>
  </ds:schemaRefs>
</ds:datastoreItem>
</file>

<file path=customXml/itemProps3.xml><?xml version="1.0" encoding="utf-8"?>
<ds:datastoreItem xmlns:ds="http://schemas.openxmlformats.org/officeDocument/2006/customXml" ds:itemID="{4F8BB3A7-C32D-438F-9174-DAE92224D4D4}">
  <ds:schemaRefs>
    <ds:schemaRef ds:uri="http://schemas.microsoft.com/sharepoint/v3/contenttype/forms"/>
  </ds:schemaRefs>
</ds:datastoreItem>
</file>

<file path=customXml/itemProps4.xml><?xml version="1.0" encoding="utf-8"?>
<ds:datastoreItem xmlns:ds="http://schemas.openxmlformats.org/officeDocument/2006/customXml" ds:itemID="{4642D58A-40C9-4AA2-BC7E-1A1545FC2E1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Inputs</vt:lpstr>
      <vt:lpstr>MemoTables</vt:lpstr>
      <vt:lpstr>YR1</vt:lpstr>
      <vt:lpstr>YR2</vt:lpstr>
      <vt:lpstr>YR3</vt:lpstr>
      <vt:lpstr>summary</vt:lpstr>
      <vt:lpstr>EPA_YR1</vt:lpstr>
      <vt:lpstr>EPA_YR2</vt:lpstr>
      <vt:lpstr>EPA_YR3</vt:lpstr>
      <vt:lpstr>EPA summary</vt:lpstr>
      <vt:lpstr>'EPA summary'!Print_Area</vt:lpstr>
      <vt:lpstr>EPA_YR1!Print_Area</vt:lpstr>
      <vt:lpstr>EPA_YR2!Print_Area</vt:lpstr>
      <vt:lpstr>EPA_YR3!Print_Area</vt:lpstr>
      <vt:lpstr>summary!Print_Area</vt:lpstr>
      <vt:lpstr>'YR1'!Print_Area</vt:lpstr>
      <vt:lpstr>'YR2'!Print_Area</vt:lpstr>
      <vt:lpstr>'YR3'!Print_Area</vt:lpstr>
      <vt:lpstr>'YR1'!Print_Titles</vt:lpstr>
      <vt:lpstr>'YR2'!Print_Titles</vt:lpstr>
      <vt:lpstr>'YR3'!Print_Titles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2024-11-19T14:30:02Z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0x010100C14BEA793E871741BB5BFC015BE97561</vt:lpwstr>
  </property>
  <property fmtid="{D5CDD505-2E9C-101B-9397-08002B2CF9AE}" pid="3" name="TaxKeyword">
    <vt:lpwstr/>
  </property>
  <property fmtid="{D5CDD505-2E9C-101B-9397-08002B2CF9AE}" pid="4" name="Document Type">
    <vt:lpwstr/>
  </property>
</Properties>
</file>